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82E5C9D-CA44-4372-9668-DBB9BF8B4C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K35" i="1"/>
  <c r="E29" i="1"/>
  <c r="F29" i="1"/>
  <c r="G29" i="1"/>
  <c r="H29" i="1"/>
  <c r="E30" i="1"/>
  <c r="F30" i="1"/>
  <c r="G30" i="1"/>
  <c r="H30" i="1"/>
  <c r="E31" i="1"/>
  <c r="F31" i="1"/>
  <c r="G31" i="1"/>
  <c r="I31" i="1"/>
  <c r="E32" i="1"/>
  <c r="F32" i="1"/>
  <c r="G32" i="1"/>
  <c r="I32" i="1"/>
  <c r="E33" i="1"/>
  <c r="F33" i="1"/>
  <c r="G33" i="1"/>
  <c r="H33" i="1"/>
  <c r="E34" i="1"/>
  <c r="F34" i="1"/>
  <c r="G34" i="1"/>
  <c r="I34" i="1"/>
  <c r="Q35" i="1"/>
  <c r="E21" i="1"/>
  <c r="F21" i="1"/>
  <c r="G21" i="1"/>
  <c r="H21" i="1"/>
  <c r="E22" i="1"/>
  <c r="F22" i="1"/>
  <c r="U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Q22" i="1"/>
  <c r="Q23" i="1"/>
  <c r="Q24" i="1"/>
  <c r="Q25" i="1"/>
  <c r="Q26" i="1"/>
  <c r="Q27" i="1"/>
  <c r="Q28" i="1"/>
  <c r="Q29" i="1"/>
  <c r="Q30" i="1"/>
  <c r="Q31" i="1"/>
  <c r="Q32" i="1"/>
  <c r="Q34" i="1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33" i="1"/>
  <c r="C11" i="1"/>
  <c r="C12" i="1"/>
  <c r="C16" i="1" l="1"/>
  <c r="D18" i="1" s="1"/>
  <c r="O34" i="1"/>
  <c r="O24" i="1"/>
  <c r="O23" i="1"/>
  <c r="O28" i="1"/>
  <c r="O27" i="1"/>
  <c r="O35" i="1"/>
  <c r="O31" i="1"/>
  <c r="O32" i="1"/>
  <c r="C15" i="1"/>
  <c r="O30" i="1"/>
  <c r="O33" i="1"/>
  <c r="O22" i="1"/>
  <c r="O26" i="1"/>
  <c r="O29" i="1"/>
  <c r="O21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<sst xmlns="http://schemas.openxmlformats.org/spreadsheetml/2006/main" count="198" uniqueCount="103">
  <si>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</si>
  <si>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</si>
  <si>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</si>
  <si>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</si>
  <si>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</si>
  <si>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</si>
  <si>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</si>
  <si>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</si>
  <si>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</si>
  <si>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</si>
  <si>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</si>
  <si>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</si>
  <si>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</si>
  <si>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</si>
  <si>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</si>
  <si>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</si>
  <si>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</si>
  <si>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</si>
  <si>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</si>
  <si>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</si>
  <si>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</si>
  <si>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</si>
  <si>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</si>
  <si>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</si>
  <si>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</si>
  <si>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</si>
  <si>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</si>
  <si>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</si>
  <si>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</si>
  <si>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</si>
  <si>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</si>
  <si>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</si>
  <si>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</si>
  <si>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</si>
  <si>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</si>
  <si>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</si>
  <si>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</si>
  <si>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</si>
  <si>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</si>
  <si>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</si>
  <si>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</si>
  <si>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</si>
  <si>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</si>
  <si>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</si>
  <si>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</si>
  <si>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</si>
  <si>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</si>
  <si>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</si>
  <si>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CX Cep</t>
  </si>
  <si>
    <t>EB</t>
  </si>
  <si>
    <t>CX Cep / GSC 4451.4234</t>
  </si>
  <si>
    <t>Malkov</t>
  </si>
  <si>
    <t>2414898.34 </t>
  </si>
  <si>
    <t> 31.08.1899 20:09 </t>
  </si>
  <si>
    <t> -0.22 </t>
  </si>
  <si>
    <t>P </t>
  </si>
  <si>
    <t> N.E.Kurochkin </t>
  </si>
  <si>
    <t> PZ 22.223 </t>
  </si>
  <si>
    <t>2417820.32 </t>
  </si>
  <si>
    <t> 01.09.1907 19:40 </t>
  </si>
  <si>
    <t> -0.56 </t>
  </si>
  <si>
    <t>2429165.41 </t>
  </si>
  <si>
    <t> 23.09.1938 21:50 </t>
  </si>
  <si>
    <t> -0.20 </t>
  </si>
  <si>
    <t>2433217.28 </t>
  </si>
  <si>
    <t> 27.10.1949 18:43 </t>
  </si>
  <si>
    <t> -0.02 </t>
  </si>
  <si>
    <t>2434229.43 </t>
  </si>
  <si>
    <t> 04.08.1952 22:19 </t>
  </si>
  <si>
    <t> -0.26 </t>
  </si>
  <si>
    <t>2435348.47 </t>
  </si>
  <si>
    <t> 28.08.1955 23:16 </t>
  </si>
  <si>
    <t> 0.05 </t>
  </si>
  <si>
    <t>2436796.52 </t>
  </si>
  <si>
    <t> 16.08.1959 00:28 </t>
  </si>
  <si>
    <t> -0.30 </t>
  </si>
  <si>
    <t>2436807.31 </t>
  </si>
  <si>
    <t> 26.08.1959 19:26 </t>
  </si>
  <si>
    <t> -0.14 </t>
  </si>
  <si>
    <t>2436809.41 </t>
  </si>
  <si>
    <t> 28.08.1959 21:50 </t>
  </si>
  <si>
    <t> -0.17 </t>
  </si>
  <si>
    <t>2438698.27 </t>
  </si>
  <si>
    <t> 29.10.1964 18:28 </t>
  </si>
  <si>
    <t> 0.03 </t>
  </si>
  <si>
    <t>2444096.372 </t>
  </si>
  <si>
    <t> 10.08.1979 20:55 </t>
  </si>
  <si>
    <t> 0.136 </t>
  </si>
  <si>
    <t>E </t>
  </si>
  <si>
    <t>?</t>
  </si>
  <si>
    <t> Lipunova&amp;Cherepas. </t>
  </si>
  <si>
    <t> AC 1190.1 </t>
  </si>
  <si>
    <t>2444451.423 </t>
  </si>
  <si>
    <t> 30.07.1980 22:09 </t>
  </si>
  <si>
    <t> -0.000 </t>
  </si>
  <si>
    <t>2446714.478 </t>
  </si>
  <si>
    <t> 10.10.1986 23:28 </t>
  </si>
  <si>
    <t> 0.065 </t>
  </si>
  <si>
    <t> D.Stickland et al. </t>
  </si>
  <si>
    <t> OBS 108.154 </t>
  </si>
  <si>
    <t>I</t>
  </si>
  <si>
    <t>BAD?</t>
  </si>
  <si>
    <t>31/08/1899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</si>
</sst>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6" fillId="26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NumberFormat="1" applyFont="1" applyAlignment="1">
      <alignment horizontal="left" wrapText="1"/>
    </xf>
    <xf numFmtId="14" fontId="6" fillId="0" borderId="0" xfId="0" applyNumberFormat="1" applyFont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Cep - O-C Diagr.</a:t>
            </a:r>
          </a:p>
        </c:rich>
      </c:tx>
      <c:layout>
        <c:manualLayout>
          <c:xMode val="edge"/>
          <c:yMode val="edge"/>
          <c:x val="0.4116972477064220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009174311926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-0.22475000000122236</c:v>
                </c:pt>
                <c:pt idx="2">
                  <c:v>-0.19871000000057393</c:v>
                </c:pt>
                <c:pt idx="3">
                  <c:v>-1.6060000001743902E-2</c:v>
                </c:pt>
                <c:pt idx="4">
                  <c:v>-0.25618000000395114</c:v>
                </c:pt>
                <c:pt idx="5">
                  <c:v>5.0199999997857958E-2</c:v>
                </c:pt>
                <c:pt idx="6">
                  <c:v>-0.29827000000659609</c:v>
                </c:pt>
                <c:pt idx="7">
                  <c:v>-0.14261999999871477</c:v>
                </c:pt>
                <c:pt idx="8">
                  <c:v>-0.16949000000022352</c:v>
                </c:pt>
                <c:pt idx="9">
                  <c:v>2.9949999996460974E-2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0C-46AA-8494-095B27905B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0.13589000000501983</c:v>
                </c:pt>
                <c:pt idx="11">
                  <c:v>-3.9999999717110768E-4</c:v>
                </c:pt>
                <c:pt idx="13">
                  <c:v>6.4920000004349276E-2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0C-46AA-8494-095B27905B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0C-46AA-8494-095B27905B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4">
                  <c:v>0.28627000000415137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0C-46AA-8494-095B27905B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0C-46AA-8494-095B27905B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0C-46AA-8494-095B27905B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3.6200000000000003E-2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0C-46AA-8494-095B27905B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-0.3463376657100698</c:v>
                </c:pt>
                <c:pt idx="1">
                  <c:v>-0.309336340862086</c:v>
                </c:pt>
                <c:pt idx="2">
                  <c:v>-0.1656278826155845</c:v>
                </c:pt>
                <c:pt idx="3">
                  <c:v>-0.11430824385664076</c:v>
                </c:pt>
                <c:pt idx="4">
                  <c:v>-0.10148506902763435</c:v>
                </c:pt>
                <c:pt idx="5">
                  <c:v>-8.7314922052723898E-2</c:v>
                </c:pt>
                <c:pt idx="6">
                  <c:v>-6.8969161425510947E-2</c:v>
                </c:pt>
                <c:pt idx="7">
                  <c:v>-6.8834464210920543E-2</c:v>
                </c:pt>
                <c:pt idx="8">
                  <c:v>-6.8807524768002462E-2</c:v>
                </c:pt>
                <c:pt idx="9">
                  <c:v>-4.4885299456746811E-2</c:v>
                </c:pt>
                <c:pt idx="10">
                  <c:v>2.348700666934201E-2</c:v>
                </c:pt>
                <c:pt idx="11">
                  <c:v>2.7985893636661485E-2</c:v>
                </c:pt>
                <c:pt idx="12">
                  <c:v>2.7985893636661485E-2</c:v>
                </c:pt>
                <c:pt idx="13">
                  <c:v>5.6649460901499346E-2</c:v>
                </c:pt>
                <c:pt idx="14">
                  <c:v>0.19121197827731243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0C-46AA-8494-095B27905B4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-13895</c:v>
                </c:pt>
                <c:pt idx="1">
                  <c:v>-12521.5</c:v>
                </c:pt>
                <c:pt idx="2">
                  <c:v>-7187</c:v>
                </c:pt>
                <c:pt idx="3">
                  <c:v>-5282</c:v>
                </c:pt>
                <c:pt idx="4">
                  <c:v>-4806</c:v>
                </c:pt>
                <c:pt idx="5">
                  <c:v>-4280</c:v>
                </c:pt>
                <c:pt idx="6">
                  <c:v>-3599</c:v>
                </c:pt>
                <c:pt idx="7">
                  <c:v>-3594</c:v>
                </c:pt>
                <c:pt idx="8">
                  <c:v>-3593</c:v>
                </c:pt>
                <c:pt idx="9">
                  <c:v>-2705</c:v>
                </c:pt>
                <c:pt idx="10">
                  <c:v>-167</c:v>
                </c:pt>
                <c:pt idx="11">
                  <c:v>0</c:v>
                </c:pt>
                <c:pt idx="12">
                  <c:v>0</c:v>
                </c:pt>
                <c:pt idx="13">
                  <c:v>1064</c:v>
                </c:pt>
                <c:pt idx="14">
                  <c:v>6059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0.49930499999754829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0C-46AA-8494-095B27905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26288"/>
        <c:axId val="1"/>
      </c:scatterChart>
      <c:valAx>
        <c:axId val="70652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22018348624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52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25688073394495"/>
          <c:y val="0.92397937099967764"/>
          <c:w val="0.551605504587155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38100</xdr:rowOff>
    </xdr:from>
    <xdr:to>
      <xdr:col>20</xdr:col>
      <xdr:colOff>619125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088B3B-5115-B8D5-22C2-ECB93B382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50" t="s">
        <v>48</v>
      </c>
      <c r="G1" s="32">
        <v>22.093350000000001</v>
      </c>
      <c r="H1" s="33">
        <v>57.443100000000001</v>
      </c>
      <c r="I1" s="34">
        <v>44451.4234</v>
      </c>
      <c r="J1" s="34">
        <v>2.1268699999999998</v>
      </c>
      <c r="K1" s="31" t="s">
        <v>49</v>
      </c>
      <c r="L1" s="33"/>
      <c r="M1" s="34">
        <v>44451.4234</v>
      </c>
      <c r="N1" s="34">
        <v>2.1268699999999998</v>
      </c>
      <c r="O1" s="37" t="s">
        <v>49</v>
      </c>
    </row>
    <row r="2" spans="1:15" x14ac:dyDescent="0.2">
      <c r="A2" t="s">
        <v>24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1</v>
      </c>
      <c r="C4" s="27">
        <v>44451.4234</v>
      </c>
      <c r="D4" s="28">
        <v>2.1268699999999998</v>
      </c>
    </row>
    <row r="5" spans="1:15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5" x14ac:dyDescent="0.2">
      <c r="A6" s="5" t="s">
        <v>2</v>
      </c>
    </row>
    <row r="7" spans="1:15" x14ac:dyDescent="0.2">
      <c r="A7" t="s">
        <v>3</v>
      </c>
      <c r="C7" s="58">
        <v>44451.4234</v>
      </c>
      <c r="D7" s="29" t="s">
        <v>51</v>
      </c>
    </row>
    <row r="8" spans="1:15" x14ac:dyDescent="0.2">
      <c r="A8" t="s">
        <v>4</v>
      </c>
      <c r="C8" s="58">
        <v>2.1268699999999998</v>
      </c>
      <c r="D8" s="29" t="s">
        <v>51</v>
      </c>
    </row>
    <row r="9" spans="1:15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5" x14ac:dyDescent="0.2">
      <c r="A11" s="10" t="s">
        <v>16</v>
      </c>
      <c r="B11" s="10"/>
      <c r="C11" s="21">
        <f ca="1">INTERCEPT(INDIRECT($E$9):G992,INDIRECT($D$9):F992)</f>
        <v>2.7985893636661485E-2</v>
      </c>
      <c r="D11" s="3"/>
      <c r="E11" s="10"/>
    </row>
    <row r="12" spans="1:15" x14ac:dyDescent="0.2">
      <c r="A12" s="10" t="s">
        <v>17</v>
      </c>
      <c r="B12" s="10"/>
      <c r="C12" s="21">
        <f ca="1">SLOPE(INDIRECT($E$9):G992,INDIRECT($D$9):F992)</f>
        <v>2.6939442918080699E-5</v>
      </c>
      <c r="D12" s="3"/>
      <c r="E12" s="10"/>
    </row>
    <row r="13" spans="1:15" x14ac:dyDescent="0.2">
      <c r="A13" s="10" t="s">
        <v>19</v>
      </c>
      <c r="B13" s="10"/>
      <c r="C13" s="3" t="s">
        <v>14</v>
      </c>
    </row>
    <row r="14" spans="1:15" x14ac:dyDescent="0.2">
      <c r="A14" s="10"/>
      <c r="B14" s="10"/>
      <c r="C14" s="10"/>
    </row>
    <row r="15" spans="1:15" x14ac:dyDescent="0.2">
      <c r="A15" s="12" t="s">
        <v>18</v>
      </c>
      <c r="B15" s="10"/>
      <c r="C15" s="13">
        <f ca="1">(C7+C11)+(C8+C12)*INT(MAX(F21:F3533))</f>
        <v>57338.319941978276</v>
      </c>
      <c r="E15" s="14" t="s">
        <v>34</v>
      </c>
      <c r="F15" s="35">
        <v>1</v>
      </c>
    </row>
    <row r="16" spans="1:15" x14ac:dyDescent="0.2">
      <c r="A16" s="16" t="s">
        <v>5</v>
      </c>
      <c r="B16" s="10"/>
      <c r="C16" s="17">
        <f ca="1">+C8+C12</f>
        <v>2.126896939442918</v>
      </c>
      <c r="E16" s="14" t="s">
        <v>31</v>
      </c>
      <c r="F16" s="36">
        <f ca="1">NOW()+15018.5+$C$5/24</f>
        <v>60332.654000347218</v>
      </c>
    </row>
    <row r="17" spans="1:21" ht="13.5" thickBot="1" x14ac:dyDescent="0.25">
      <c r="A17" s="14" t="s">
        <v>28</v>
      </c>
      <c r="B17" s="10"/>
      <c r="C17" s="10">
        <f>COUNT(C21:C2191)</f>
        <v>15</v>
      </c>
      <c r="E17" s="14" t="s">
        <v>35</v>
      </c>
      <c r="F17" s="15">
        <f ca="1">ROUND(2*(F16-$C$7)/$C$8,0)/2+F15</f>
        <v>7468</v>
      </c>
    </row>
    <row r="18" spans="1:21" ht="14.25" thickTop="1" thickBot="1" x14ac:dyDescent="0.25">
      <c r="A18" s="16" t="s">
        <v>6</v>
      </c>
      <c r="B18" s="10"/>
      <c r="C18" s="19">
        <f ca="1">+C15</f>
        <v>57338.319941978276</v>
      </c>
      <c r="D18" s="20">
        <f ca="1">+C16</f>
        <v>2.126896939442918</v>
      </c>
      <c r="E18" s="14" t="s">
        <v>36</v>
      </c>
      <c r="F18" s="23">
        <f ca="1">ROUND(2*(F16-$C$15)/$C$16,0)/2+F15</f>
        <v>1409</v>
      </c>
    </row>
    <row r="19" spans="1:21" ht="13.5" thickTop="1" x14ac:dyDescent="0.2">
      <c r="E19" s="14" t="s">
        <v>32</v>
      </c>
      <c r="F19" s="18">
        <f ca="1">+$C$15+$C$16*F18-15018.5-$C$5/24</f>
        <v>45317.013562986685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26" t="s">
        <v>101</v>
      </c>
    </row>
    <row r="21" spans="1:21" x14ac:dyDescent="0.2">
      <c r="A21" s="51" t="s">
        <v>57</v>
      </c>
      <c r="B21" s="52" t="s">
        <v>100</v>
      </c>
      <c r="C21" s="51">
        <v>14898.34</v>
      </c>
      <c r="D21" s="51" t="s">
        <v>38</v>
      </c>
      <c r="E21">
        <f t="shared" ref="E21:E28" si="0">+(C21-C$7)/C$8</f>
        <v>-13895.105671714775</v>
      </c>
      <c r="F21">
        <f t="shared" ref="F21:F28" si="1">ROUND(2*E21,0)/2</f>
        <v>-13895</v>
      </c>
      <c r="G21">
        <f>+C21-(C$7+F21*C$8)</f>
        <v>-0.22475000000122236</v>
      </c>
      <c r="H21">
        <f>+G21</f>
        <v>-0.22475000000122236</v>
      </c>
      <c r="O21">
        <f t="shared" ref="O21:O28" ca="1" si="2">+C$11+C$12*$F21</f>
        <v>-0.3463376657100698</v>
      </c>
      <c r="Q21" s="57" t="s">
        <v>102</v>
      </c>
      <c r="R21" s="2"/>
      <c r="S21" s="2"/>
      <c r="T21" s="2"/>
    </row>
    <row r="22" spans="1:21" x14ac:dyDescent="0.2">
      <c r="A22" s="51" t="s">
        <v>57</v>
      </c>
      <c r="B22" s="52" t="s">
        <v>100</v>
      </c>
      <c r="C22" s="51">
        <v>17820.32</v>
      </c>
      <c r="D22" s="51" t="s">
        <v>38</v>
      </c>
      <c r="E22">
        <f t="shared" si="0"/>
        <v>-12521.26523953039</v>
      </c>
      <c r="F22">
        <f t="shared" si="1"/>
        <v>-12521.5</v>
      </c>
      <c r="O22">
        <f t="shared" ca="1" si="2"/>
        <v>-0.309336340862086</v>
      </c>
      <c r="Q22" s="2">
        <f t="shared" ref="Q21:Q28" si="3">+C22-15018.5</f>
        <v>2801.8199999999997</v>
      </c>
      <c r="R22" s="2"/>
      <c r="S22" s="2"/>
      <c r="T22" s="2"/>
      <c r="U22">
        <f>+C22-(C$7+F22*C$8)</f>
        <v>0.49930499999754829</v>
      </c>
    </row>
    <row r="23" spans="1:21" x14ac:dyDescent="0.2">
      <c r="A23" s="51" t="s">
        <v>57</v>
      </c>
      <c r="B23" s="52" t="s">
        <v>100</v>
      </c>
      <c r="C23" s="51">
        <v>29165.41</v>
      </c>
      <c r="D23" s="51" t="s">
        <v>38</v>
      </c>
      <c r="E23">
        <f t="shared" si="0"/>
        <v>-7187.0934283712695</v>
      </c>
      <c r="F23">
        <f t="shared" si="1"/>
        <v>-7187</v>
      </c>
      <c r="G23">
        <f t="shared" ref="G23:G28" si="4">+C23-(C$7+F23*C$8)</f>
        <v>-0.19871000000057393</v>
      </c>
      <c r="H23">
        <f t="shared" ref="H23:H28" si="5">+G23</f>
        <v>-0.19871000000057393</v>
      </c>
      <c r="O23">
        <f t="shared" ca="1" si="2"/>
        <v>-0.1656278826155845</v>
      </c>
      <c r="Q23" s="2">
        <f t="shared" si="3"/>
        <v>14146.91</v>
      </c>
      <c r="R23" s="2"/>
      <c r="S23" s="2"/>
      <c r="T23" s="2"/>
    </row>
    <row r="24" spans="1:21" x14ac:dyDescent="0.2">
      <c r="A24" s="51" t="s">
        <v>57</v>
      </c>
      <c r="B24" s="52" t="s">
        <v>100</v>
      </c>
      <c r="C24" s="51">
        <v>33217.279999999999</v>
      </c>
      <c r="D24" s="51" t="s">
        <v>38</v>
      </c>
      <c r="E24">
        <f t="shared" si="0"/>
        <v>-5282.0075510021779</v>
      </c>
      <c r="F24">
        <f t="shared" si="1"/>
        <v>-5282</v>
      </c>
      <c r="G24">
        <f t="shared" si="4"/>
        <v>-1.6060000001743902E-2</v>
      </c>
      <c r="H24">
        <f t="shared" si="5"/>
        <v>-1.6060000001743902E-2</v>
      </c>
      <c r="O24">
        <f t="shared" ca="1" si="2"/>
        <v>-0.11430824385664076</v>
      </c>
      <c r="Q24" s="2">
        <f t="shared" si="3"/>
        <v>18198.78</v>
      </c>
      <c r="R24" s="2"/>
      <c r="S24" s="2"/>
      <c r="T24" s="2"/>
    </row>
    <row r="25" spans="1:21" x14ac:dyDescent="0.2">
      <c r="A25" s="51" t="s">
        <v>57</v>
      </c>
      <c r="B25" s="52" t="s">
        <v>100</v>
      </c>
      <c r="C25" s="51">
        <v>34229.43</v>
      </c>
      <c r="D25" s="51" t="s">
        <v>38</v>
      </c>
      <c r="E25">
        <f t="shared" si="0"/>
        <v>-4806.1204492987345</v>
      </c>
      <c r="F25">
        <f t="shared" si="1"/>
        <v>-4806</v>
      </c>
      <c r="G25">
        <f t="shared" si="4"/>
        <v>-0.25618000000395114</v>
      </c>
      <c r="H25">
        <f t="shared" si="5"/>
        <v>-0.25618000000395114</v>
      </c>
      <c r="O25">
        <f t="shared" ca="1" si="2"/>
        <v>-0.10148506902763435</v>
      </c>
      <c r="Q25" s="2">
        <f t="shared" si="3"/>
        <v>19210.93</v>
      </c>
      <c r="R25" s="2"/>
      <c r="S25" s="2"/>
      <c r="T25" s="2"/>
    </row>
    <row r="26" spans="1:21" x14ac:dyDescent="0.2">
      <c r="A26" s="51" t="s">
        <v>57</v>
      </c>
      <c r="B26" s="52" t="s">
        <v>100</v>
      </c>
      <c r="C26" s="51">
        <v>35348.47</v>
      </c>
      <c r="D26" s="51" t="s">
        <v>38</v>
      </c>
      <c r="E26">
        <f t="shared" si="0"/>
        <v>-4279.9763972410155</v>
      </c>
      <c r="F26">
        <f t="shared" si="1"/>
        <v>-4280</v>
      </c>
      <c r="G26">
        <f t="shared" si="4"/>
        <v>5.0199999997857958E-2</v>
      </c>
      <c r="H26">
        <f t="shared" si="5"/>
        <v>5.0199999997857958E-2</v>
      </c>
      <c r="O26">
        <f t="shared" ca="1" si="2"/>
        <v>-8.7314922052723898E-2</v>
      </c>
      <c r="Q26" s="2">
        <f t="shared" si="3"/>
        <v>20329.97</v>
      </c>
      <c r="R26" s="2"/>
      <c r="S26" s="2"/>
      <c r="T26" s="2"/>
    </row>
    <row r="27" spans="1:21" x14ac:dyDescent="0.2">
      <c r="A27" s="51" t="s">
        <v>57</v>
      </c>
      <c r="B27" s="52" t="s">
        <v>100</v>
      </c>
      <c r="C27" s="51">
        <v>36796.519999999997</v>
      </c>
      <c r="D27" s="51" t="s">
        <v>38</v>
      </c>
      <c r="E27">
        <f t="shared" si="0"/>
        <v>-3599.1402389426735</v>
      </c>
      <c r="F27">
        <f t="shared" si="1"/>
        <v>-3599</v>
      </c>
      <c r="G27">
        <f t="shared" si="4"/>
        <v>-0.29827000000659609</v>
      </c>
      <c r="H27">
        <f t="shared" si="5"/>
        <v>-0.29827000000659609</v>
      </c>
      <c r="O27">
        <f t="shared" ca="1" si="2"/>
        <v>-6.8969161425510947E-2</v>
      </c>
      <c r="Q27" s="2">
        <f t="shared" si="3"/>
        <v>21778.019999999997</v>
      </c>
      <c r="R27" s="2"/>
      <c r="S27" s="2"/>
      <c r="T27" s="2"/>
    </row>
    <row r="28" spans="1:21" x14ac:dyDescent="0.2">
      <c r="A28" s="51" t="s">
        <v>57</v>
      </c>
      <c r="B28" s="52" t="s">
        <v>100</v>
      </c>
      <c r="C28" s="51">
        <v>36807.31</v>
      </c>
      <c r="D28" s="51" t="s">
        <v>38</v>
      </c>
      <c r="E28">
        <f t="shared" si="0"/>
        <v>-3594.0670562845885</v>
      </c>
      <c r="F28">
        <f t="shared" si="1"/>
        <v>-3594</v>
      </c>
      <c r="G28">
        <f t="shared" si="4"/>
        <v>-0.14261999999871477</v>
      </c>
      <c r="H28">
        <f t="shared" si="5"/>
        <v>-0.14261999999871477</v>
      </c>
      <c r="O28">
        <f t="shared" ca="1" si="2"/>
        <v>-6.8834464210920543E-2</v>
      </c>
      <c r="Q28" s="2">
        <f t="shared" si="3"/>
        <v>21788.809999999998</v>
      </c>
      <c r="R28" s="2"/>
      <c r="S28" s="2"/>
      <c r="T28" s="2"/>
    </row>
    <row r="29" spans="1:21" x14ac:dyDescent="0.2">
      <c r="A29" s="51" t="s">
        <v>57</v>
      </c>
      <c r="B29" s="52" t="s">
        <v>100</v>
      </c>
      <c r="C29" s="51">
        <v>36809.410000000003</v>
      </c>
      <c r="D29" s="51" t="s">
        <v>38</v>
      </c>
      <c r="E29">
        <f t="shared" ref="E29:E35" si="6">+(C29-C$7)/C$8</f>
        <v>-3593.0796898729104</v>
      </c>
      <c r="F29">
        <f t="shared" ref="F29:F35" si="7">ROUND(2*E29,0)/2</f>
        <v>-3593</v>
      </c>
      <c r="G29">
        <f t="shared" ref="G29:G35" si="8">+C29-(C$7+F29*C$8)</f>
        <v>-0.16949000000022352</v>
      </c>
      <c r="H29">
        <f>+G29</f>
        <v>-0.16949000000022352</v>
      </c>
      <c r="O29">
        <f t="shared" ref="O29:O35" ca="1" si="9">+C$11+C$12*$F29</f>
        <v>-6.8807524768002462E-2</v>
      </c>
      <c r="Q29" s="2">
        <f t="shared" ref="Q29:Q35" si="10">+C29-15018.5</f>
        <v>21790.910000000003</v>
      </c>
      <c r="R29" s="2"/>
      <c r="S29" s="2"/>
      <c r="T29" s="2"/>
    </row>
    <row r="30" spans="1:21" x14ac:dyDescent="0.2">
      <c r="A30" s="51" t="s">
        <v>57</v>
      </c>
      <c r="B30" s="52" t="s">
        <v>100</v>
      </c>
      <c r="C30" s="51">
        <v>38698.269999999997</v>
      </c>
      <c r="D30" s="51" t="s">
        <v>38</v>
      </c>
      <c r="E30">
        <f t="shared" si="6"/>
        <v>-2704.985918274273</v>
      </c>
      <c r="F30">
        <f t="shared" si="7"/>
        <v>-2705</v>
      </c>
      <c r="G30">
        <f t="shared" si="8"/>
        <v>2.9949999996460974E-2</v>
      </c>
      <c r="H30">
        <f>+G30</f>
        <v>2.9949999996460974E-2</v>
      </c>
      <c r="O30">
        <f t="shared" ca="1" si="9"/>
        <v>-4.4885299456746811E-2</v>
      </c>
      <c r="Q30" s="2">
        <f t="shared" si="10"/>
        <v>23679.769999999997</v>
      </c>
      <c r="R30" s="2"/>
      <c r="S30" s="2"/>
      <c r="T30" s="2"/>
    </row>
    <row r="31" spans="1:21" x14ac:dyDescent="0.2">
      <c r="A31" s="51" t="s">
        <v>91</v>
      </c>
      <c r="B31" s="52" t="s">
        <v>100</v>
      </c>
      <c r="C31" s="51">
        <v>44096.372000000003</v>
      </c>
      <c r="D31" s="51" t="s">
        <v>38</v>
      </c>
      <c r="E31">
        <f t="shared" si="6"/>
        <v>-166.93610798967342</v>
      </c>
      <c r="F31">
        <f t="shared" si="7"/>
        <v>-167</v>
      </c>
      <c r="G31">
        <f t="shared" si="8"/>
        <v>0.13589000000501983</v>
      </c>
      <c r="I31">
        <f>+G31</f>
        <v>0.13589000000501983</v>
      </c>
      <c r="O31">
        <f t="shared" ca="1" si="9"/>
        <v>2.348700666934201E-2</v>
      </c>
      <c r="Q31" s="2">
        <f t="shared" si="10"/>
        <v>29077.872000000003</v>
      </c>
      <c r="R31" s="2"/>
      <c r="S31" s="2"/>
      <c r="T31" s="2"/>
    </row>
    <row r="32" spans="1:21" x14ac:dyDescent="0.2">
      <c r="A32" s="51" t="s">
        <v>91</v>
      </c>
      <c r="B32" s="52" t="s">
        <v>100</v>
      </c>
      <c r="C32" s="51">
        <v>44451.423000000003</v>
      </c>
      <c r="D32" s="51" t="s">
        <v>38</v>
      </c>
      <c r="E32">
        <f t="shared" si="6"/>
        <v>-1.8806979136999803E-4</v>
      </c>
      <c r="F32">
        <f t="shared" si="7"/>
        <v>0</v>
      </c>
      <c r="G32">
        <f t="shared" si="8"/>
        <v>-3.9999999717110768E-4</v>
      </c>
      <c r="I32">
        <f>+G32</f>
        <v>-3.9999999717110768E-4</v>
      </c>
      <c r="O32">
        <f t="shared" ca="1" si="9"/>
        <v>2.7985893636661485E-2</v>
      </c>
      <c r="Q32" s="2">
        <f t="shared" si="10"/>
        <v>29432.923000000003</v>
      </c>
      <c r="R32" s="2"/>
      <c r="S32" s="2"/>
      <c r="T32" s="2"/>
    </row>
    <row r="33" spans="1:20" x14ac:dyDescent="0.2">
      <c r="A33" s="29" t="s">
        <v>51</v>
      </c>
      <c r="C33" s="8">
        <v>44451.4234</v>
      </c>
      <c r="D33" s="8" t="s">
        <v>14</v>
      </c>
      <c r="E33">
        <f t="shared" si="6"/>
        <v>0</v>
      </c>
      <c r="F33">
        <f t="shared" si="7"/>
        <v>0</v>
      </c>
      <c r="G33">
        <f t="shared" si="8"/>
        <v>0</v>
      </c>
      <c r="H33">
        <f>+G33</f>
        <v>0</v>
      </c>
      <c r="O33">
        <f t="shared" ca="1" si="9"/>
        <v>2.7985893636661485E-2</v>
      </c>
      <c r="Q33" s="2">
        <f t="shared" si="10"/>
        <v>29432.9234</v>
      </c>
      <c r="R33" s="2"/>
      <c r="S33" s="2"/>
      <c r="T33" s="2"/>
    </row>
    <row r="34" spans="1:20" x14ac:dyDescent="0.2">
      <c r="A34" s="51" t="s">
        <v>99</v>
      </c>
      <c r="B34" s="52" t="s">
        <v>100</v>
      </c>
      <c r="C34" s="51">
        <v>46714.478000000003</v>
      </c>
      <c r="D34" s="51" t="s">
        <v>38</v>
      </c>
      <c r="E34">
        <f t="shared" si="6"/>
        <v>1064.0305237273567</v>
      </c>
      <c r="F34">
        <f t="shared" si="7"/>
        <v>1064</v>
      </c>
      <c r="G34">
        <f t="shared" si="8"/>
        <v>6.4920000004349276E-2</v>
      </c>
      <c r="I34">
        <f>+G34</f>
        <v>6.4920000004349276E-2</v>
      </c>
      <c r="O34">
        <f t="shared" ca="1" si="9"/>
        <v>5.6649460901499346E-2</v>
      </c>
      <c r="Q34" s="2">
        <f t="shared" si="10"/>
        <v>31695.978000000003</v>
      </c>
      <c r="R34" s="2"/>
      <c r="S34" s="2"/>
      <c r="T34" s="2"/>
    </row>
    <row r="35" spans="1:20" x14ac:dyDescent="0.2">
      <c r="A35" s="53" t="s">
        <v>0</v>
      </c>
      <c r="B35" s="54" t="s">
        <v>100</v>
      </c>
      <c r="C35" s="55">
        <v>57338.415000000001</v>
      </c>
      <c r="D35" s="56">
        <v>3.6200000000000003E-2</v>
      </c>
      <c r="E35">
        <f t="shared" si="6"/>
        <v>6059.1345968488913</v>
      </c>
      <c r="F35">
        <f t="shared" si="7"/>
        <v>6059</v>
      </c>
      <c r="G35">
        <f t="shared" si="8"/>
        <v>0.28627000000415137</v>
      </c>
      <c r="K35">
        <f>+G35</f>
        <v>0.28627000000415137</v>
      </c>
      <c r="O35">
        <f t="shared" ca="1" si="9"/>
        <v>0.19121197827731243</v>
      </c>
      <c r="Q35" s="2">
        <f t="shared" si="10"/>
        <v>42319.915000000001</v>
      </c>
    </row>
    <row r="36" spans="1:20" x14ac:dyDescent="0.2">
      <c r="B36" s="3"/>
      <c r="C36" s="8"/>
      <c r="D36" s="8"/>
    </row>
    <row r="37" spans="1:20" x14ac:dyDescent="0.2">
      <c r="B37" s="3"/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010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3"/>
  <sheetViews>
    <sheetView workbookViewId="0">
      <selection activeCell="A11" sqref="A11:D23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 PZ 22.223 </v>
      </c>
      <c r="B11" s="3" t="str">
        <f t="shared" ref="B11:B23" si="1">IF(H11=INT(H11),"I","II")</f>
        <v>I</v>
      </c>
      <c r="C11" s="8">
        <f t="shared" ref="C11:C23" si="2">1*G11</f>
        <v>14898.34</v>
      </c>
      <c r="D11" s="10" t="str">
        <f t="shared" ref="D11:D23" si="3">VLOOKUP(F11,I$1:J$5,2,FALSE)</f>
        <v>vis</v>
      </c>
      <c r="E11" s="46">
        <f>VLOOKUP(C11,Active!C$21:E$973,3,FALSE)</f>
        <v>-13895.105671714775</v>
      </c>
      <c r="F11" s="3" t="s">
        <v>47</v>
      </c>
      <c r="G11" s="10" t="str">
        <f t="shared" ref="G11:G23" si="4">MID(I11,3,LEN(I11)-3)</f>
        <v>14898.34</v>
      </c>
      <c r="H11" s="8">
        <f t="shared" ref="H11:H23" si="5">1*K11</f>
        <v>-13895</v>
      </c>
      <c r="I11" s="47" t="s">
        <v>52</v>
      </c>
      <c r="J11" s="48" t="s">
        <v>53</v>
      </c>
      <c r="K11" s="47">
        <v>-13895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PZ 22.223 </v>
      </c>
      <c r="B12" s="3" t="str">
        <f t="shared" si="1"/>
        <v>I</v>
      </c>
      <c r="C12" s="8">
        <f t="shared" si="2"/>
        <v>17820.32</v>
      </c>
      <c r="D12" s="10" t="str">
        <f t="shared" si="3"/>
        <v>vis</v>
      </c>
      <c r="E12" s="46">
        <f>VLOOKUP(C12,Active!C$21:E$973,3,FALSE)</f>
        <v>-12521.26523953039</v>
      </c>
      <c r="F12" s="3" t="s">
        <v>47</v>
      </c>
      <c r="G12" s="10" t="str">
        <f t="shared" si="4"/>
        <v>17820.32</v>
      </c>
      <c r="H12" s="8">
        <f t="shared" si="5"/>
        <v>-12521</v>
      </c>
      <c r="I12" s="47" t="s">
        <v>58</v>
      </c>
      <c r="J12" s="48" t="s">
        <v>59</v>
      </c>
      <c r="K12" s="47">
        <v>-12521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PZ 22.223 </v>
      </c>
      <c r="B13" s="3" t="str">
        <f t="shared" si="1"/>
        <v>I</v>
      </c>
      <c r="C13" s="8">
        <f t="shared" si="2"/>
        <v>29165.41</v>
      </c>
      <c r="D13" s="10" t="str">
        <f t="shared" si="3"/>
        <v>vis</v>
      </c>
      <c r="E13" s="46">
        <f>VLOOKUP(C13,Active!C$21:E$973,3,FALSE)</f>
        <v>-7187.0934283712695</v>
      </c>
      <c r="F13" s="3" t="s">
        <v>47</v>
      </c>
      <c r="G13" s="10" t="str">
        <f t="shared" si="4"/>
        <v>29165.41</v>
      </c>
      <c r="H13" s="8">
        <f t="shared" si="5"/>
        <v>-7187</v>
      </c>
      <c r="I13" s="47" t="s">
        <v>61</v>
      </c>
      <c r="J13" s="48" t="s">
        <v>62</v>
      </c>
      <c r="K13" s="47">
        <v>-7187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PZ 22.223 </v>
      </c>
      <c r="B14" s="3" t="str">
        <f t="shared" si="1"/>
        <v>I</v>
      </c>
      <c r="C14" s="8">
        <f t="shared" si="2"/>
        <v>33217.279999999999</v>
      </c>
      <c r="D14" s="10" t="str">
        <f t="shared" si="3"/>
        <v>vis</v>
      </c>
      <c r="E14" s="46">
        <f>VLOOKUP(C14,Active!C$21:E$973,3,FALSE)</f>
        <v>-5282.0075510021779</v>
      </c>
      <c r="F14" s="3" t="s">
        <v>47</v>
      </c>
      <c r="G14" s="10" t="str">
        <f t="shared" si="4"/>
        <v>33217.28</v>
      </c>
      <c r="H14" s="8">
        <f t="shared" si="5"/>
        <v>-5282</v>
      </c>
      <c r="I14" s="47" t="s">
        <v>64</v>
      </c>
      <c r="J14" s="48" t="s">
        <v>65</v>
      </c>
      <c r="K14" s="47">
        <v>-5282</v>
      </c>
      <c r="L14" s="47" t="s">
        <v>66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PZ 22.223 </v>
      </c>
      <c r="B15" s="3" t="str">
        <f t="shared" si="1"/>
        <v>I</v>
      </c>
      <c r="C15" s="8">
        <f t="shared" si="2"/>
        <v>34229.43</v>
      </c>
      <c r="D15" s="10" t="str">
        <f t="shared" si="3"/>
        <v>vis</v>
      </c>
      <c r="E15" s="46">
        <f>VLOOKUP(C15,Active!C$21:E$973,3,FALSE)</f>
        <v>-4806.1204492987345</v>
      </c>
      <c r="F15" s="3" t="s">
        <v>47</v>
      </c>
      <c r="G15" s="10" t="str">
        <f t="shared" si="4"/>
        <v>34229.43</v>
      </c>
      <c r="H15" s="8">
        <f t="shared" si="5"/>
        <v>-4806</v>
      </c>
      <c r="I15" s="47" t="s">
        <v>67</v>
      </c>
      <c r="J15" s="48" t="s">
        <v>68</v>
      </c>
      <c r="K15" s="47">
        <v>-4806</v>
      </c>
      <c r="L15" s="47" t="s">
        <v>69</v>
      </c>
      <c r="M15" s="48" t="s">
        <v>55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PZ 22.223 </v>
      </c>
      <c r="B16" s="3" t="str">
        <f t="shared" si="1"/>
        <v>I</v>
      </c>
      <c r="C16" s="8">
        <f t="shared" si="2"/>
        <v>35348.47</v>
      </c>
      <c r="D16" s="10" t="str">
        <f t="shared" si="3"/>
        <v>vis</v>
      </c>
      <c r="E16" s="46">
        <f>VLOOKUP(C16,Active!C$21:E$973,3,FALSE)</f>
        <v>-4279.9763972410155</v>
      </c>
      <c r="F16" s="3" t="s">
        <v>47</v>
      </c>
      <c r="G16" s="10" t="str">
        <f t="shared" si="4"/>
        <v>35348.47</v>
      </c>
      <c r="H16" s="8">
        <f t="shared" si="5"/>
        <v>-4280</v>
      </c>
      <c r="I16" s="47" t="s">
        <v>70</v>
      </c>
      <c r="J16" s="48" t="s">
        <v>71</v>
      </c>
      <c r="K16" s="47">
        <v>-4280</v>
      </c>
      <c r="L16" s="47" t="s">
        <v>72</v>
      </c>
      <c r="M16" s="48" t="s">
        <v>55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PZ 22.223 </v>
      </c>
      <c r="B17" s="3" t="str">
        <f t="shared" si="1"/>
        <v>I</v>
      </c>
      <c r="C17" s="8">
        <f t="shared" si="2"/>
        <v>36796.519999999997</v>
      </c>
      <c r="D17" s="10" t="str">
        <f t="shared" si="3"/>
        <v>vis</v>
      </c>
      <c r="E17" s="46">
        <f>VLOOKUP(C17,Active!C$21:E$973,3,FALSE)</f>
        <v>-3599.1402389426735</v>
      </c>
      <c r="F17" s="3" t="s">
        <v>47</v>
      </c>
      <c r="G17" s="10" t="str">
        <f t="shared" si="4"/>
        <v>36796.52</v>
      </c>
      <c r="H17" s="8">
        <f t="shared" si="5"/>
        <v>-3599</v>
      </c>
      <c r="I17" s="47" t="s">
        <v>73</v>
      </c>
      <c r="J17" s="48" t="s">
        <v>74</v>
      </c>
      <c r="K17" s="47">
        <v>-3599</v>
      </c>
      <c r="L17" s="47" t="s">
        <v>75</v>
      </c>
      <c r="M17" s="48" t="s">
        <v>55</v>
      </c>
      <c r="N17" s="48"/>
      <c r="O17" s="49" t="s">
        <v>56</v>
      </c>
      <c r="P17" s="49" t="s">
        <v>57</v>
      </c>
    </row>
    <row r="18" spans="1:16" ht="12.75" customHeight="1" thickBot="1" x14ac:dyDescent="0.25">
      <c r="A18" s="8" t="str">
        <f t="shared" si="0"/>
        <v> PZ 22.223 </v>
      </c>
      <c r="B18" s="3" t="str">
        <f t="shared" si="1"/>
        <v>I</v>
      </c>
      <c r="C18" s="8">
        <f t="shared" si="2"/>
        <v>36807.31</v>
      </c>
      <c r="D18" s="10" t="str">
        <f t="shared" si="3"/>
        <v>vis</v>
      </c>
      <c r="E18" s="46">
        <f>VLOOKUP(C18,Active!C$21:E$973,3,FALSE)</f>
        <v>-3594.0670562845885</v>
      </c>
      <c r="F18" s="3" t="s">
        <v>47</v>
      </c>
      <c r="G18" s="10" t="str">
        <f t="shared" si="4"/>
        <v>36807.31</v>
      </c>
      <c r="H18" s="8">
        <f t="shared" si="5"/>
        <v>-3594</v>
      </c>
      <c r="I18" s="47" t="s">
        <v>76</v>
      </c>
      <c r="J18" s="48" t="s">
        <v>77</v>
      </c>
      <c r="K18" s="47">
        <v>-3594</v>
      </c>
      <c r="L18" s="47" t="s">
        <v>78</v>
      </c>
      <c r="M18" s="48" t="s">
        <v>55</v>
      </c>
      <c r="N18" s="48"/>
      <c r="O18" s="49" t="s">
        <v>56</v>
      </c>
      <c r="P18" s="49" t="s">
        <v>57</v>
      </c>
    </row>
    <row r="19" spans="1:16" ht="12.75" customHeight="1" thickBot="1" x14ac:dyDescent="0.25">
      <c r="A19" s="8" t="str">
        <f t="shared" si="0"/>
        <v> PZ 22.223 </v>
      </c>
      <c r="B19" s="3" t="str">
        <f t="shared" si="1"/>
        <v>I</v>
      </c>
      <c r="C19" s="8">
        <f t="shared" si="2"/>
        <v>36809.410000000003</v>
      </c>
      <c r="D19" s="10" t="str">
        <f t="shared" si="3"/>
        <v>vis</v>
      </c>
      <c r="E19" s="46">
        <f>VLOOKUP(C19,Active!C$21:E$973,3,FALSE)</f>
        <v>-3593.0796898729104</v>
      </c>
      <c r="F19" s="3" t="s">
        <v>47</v>
      </c>
      <c r="G19" s="10" t="str">
        <f t="shared" si="4"/>
        <v>36809.41</v>
      </c>
      <c r="H19" s="8">
        <f t="shared" si="5"/>
        <v>-3593</v>
      </c>
      <c r="I19" s="47" t="s">
        <v>79</v>
      </c>
      <c r="J19" s="48" t="s">
        <v>80</v>
      </c>
      <c r="K19" s="47">
        <v>-3593</v>
      </c>
      <c r="L19" s="47" t="s">
        <v>81</v>
      </c>
      <c r="M19" s="48" t="s">
        <v>55</v>
      </c>
      <c r="N19" s="48"/>
      <c r="O19" s="49" t="s">
        <v>56</v>
      </c>
      <c r="P19" s="49" t="s">
        <v>57</v>
      </c>
    </row>
    <row r="20" spans="1:16" ht="12.75" customHeight="1" thickBot="1" x14ac:dyDescent="0.25">
      <c r="A20" s="8" t="str">
        <f t="shared" si="0"/>
        <v> PZ 22.223 </v>
      </c>
      <c r="B20" s="3" t="str">
        <f t="shared" si="1"/>
        <v>I</v>
      </c>
      <c r="C20" s="8">
        <f t="shared" si="2"/>
        <v>38698.269999999997</v>
      </c>
      <c r="D20" s="10" t="str">
        <f t="shared" si="3"/>
        <v>vis</v>
      </c>
      <c r="E20" s="46">
        <f>VLOOKUP(C20,Active!C$21:E$973,3,FALSE)</f>
        <v>-2704.985918274273</v>
      </c>
      <c r="F20" s="3" t="s">
        <v>47</v>
      </c>
      <c r="G20" s="10" t="str">
        <f t="shared" si="4"/>
        <v>38698.27</v>
      </c>
      <c r="H20" s="8">
        <f t="shared" si="5"/>
        <v>-2705</v>
      </c>
      <c r="I20" s="47" t="s">
        <v>82</v>
      </c>
      <c r="J20" s="48" t="s">
        <v>83</v>
      </c>
      <c r="K20" s="47">
        <v>-2705</v>
      </c>
      <c r="L20" s="47" t="s">
        <v>84</v>
      </c>
      <c r="M20" s="48" t="s">
        <v>55</v>
      </c>
      <c r="N20" s="48"/>
      <c r="O20" s="49" t="s">
        <v>56</v>
      </c>
      <c r="P20" s="49" t="s">
        <v>57</v>
      </c>
    </row>
    <row r="21" spans="1:16" ht="12.75" customHeight="1" thickBot="1" x14ac:dyDescent="0.25">
      <c r="A21" s="8" t="str">
        <f t="shared" si="0"/>
        <v> AC 1190.1 </v>
      </c>
      <c r="B21" s="3" t="str">
        <f t="shared" si="1"/>
        <v>I</v>
      </c>
      <c r="C21" s="8">
        <f t="shared" si="2"/>
        <v>44096.372000000003</v>
      </c>
      <c r="D21" s="10" t="str">
        <f t="shared" si="3"/>
        <v>vis</v>
      </c>
      <c r="E21" s="46">
        <f>VLOOKUP(C21,Active!C$21:E$973,3,FALSE)</f>
        <v>-166.93610798967342</v>
      </c>
      <c r="F21" s="3" t="s">
        <v>47</v>
      </c>
      <c r="G21" s="10" t="str">
        <f t="shared" si="4"/>
        <v>44096.372</v>
      </c>
      <c r="H21" s="8">
        <f t="shared" si="5"/>
        <v>-167</v>
      </c>
      <c r="I21" s="47" t="s">
        <v>85</v>
      </c>
      <c r="J21" s="48" t="s">
        <v>86</v>
      </c>
      <c r="K21" s="47">
        <v>-167</v>
      </c>
      <c r="L21" s="47" t="s">
        <v>87</v>
      </c>
      <c r="M21" s="48" t="s">
        <v>88</v>
      </c>
      <c r="N21" s="48" t="s">
        <v>89</v>
      </c>
      <c r="O21" s="49" t="s">
        <v>90</v>
      </c>
      <c r="P21" s="49" t="s">
        <v>91</v>
      </c>
    </row>
    <row r="22" spans="1:16" ht="12.75" customHeight="1" thickBot="1" x14ac:dyDescent="0.25">
      <c r="A22" s="8" t="str">
        <f t="shared" si="0"/>
        <v> AC 1190.1 </v>
      </c>
      <c r="B22" s="3" t="str">
        <f t="shared" si="1"/>
        <v>I</v>
      </c>
      <c r="C22" s="8">
        <f t="shared" si="2"/>
        <v>44451.423000000003</v>
      </c>
      <c r="D22" s="10" t="str">
        <f t="shared" si="3"/>
        <v>vis</v>
      </c>
      <c r="E22" s="46">
        <f>VLOOKUP(C22,Active!C$21:E$973,3,FALSE)</f>
        <v>-1.8806979136999803E-4</v>
      </c>
      <c r="F22" s="3" t="s">
        <v>47</v>
      </c>
      <c r="G22" s="10" t="str">
        <f t="shared" si="4"/>
        <v>44451.423</v>
      </c>
      <c r="H22" s="8">
        <f t="shared" si="5"/>
        <v>0</v>
      </c>
      <c r="I22" s="47" t="s">
        <v>92</v>
      </c>
      <c r="J22" s="48" t="s">
        <v>93</v>
      </c>
      <c r="K22" s="47">
        <v>0</v>
      </c>
      <c r="L22" s="47" t="s">
        <v>94</v>
      </c>
      <c r="M22" s="48" t="s">
        <v>88</v>
      </c>
      <c r="N22" s="48" t="s">
        <v>89</v>
      </c>
      <c r="O22" s="49" t="s">
        <v>90</v>
      </c>
      <c r="P22" s="49" t="s">
        <v>91</v>
      </c>
    </row>
    <row r="23" spans="1:16" ht="12.75" customHeight="1" thickBot="1" x14ac:dyDescent="0.25">
      <c r="A23" s="8" t="str">
        <f t="shared" si="0"/>
        <v> OBS 108.154 </v>
      </c>
      <c r="B23" s="3" t="str">
        <f t="shared" si="1"/>
        <v>I</v>
      </c>
      <c r="C23" s="8">
        <f t="shared" si="2"/>
        <v>46714.478000000003</v>
      </c>
      <c r="D23" s="10" t="str">
        <f t="shared" si="3"/>
        <v>vis</v>
      </c>
      <c r="E23" s="46">
        <f>VLOOKUP(C23,Active!C$21:E$973,3,FALSE)</f>
        <v>1064.0305237273567</v>
      </c>
      <c r="F23" s="3" t="s">
        <v>47</v>
      </c>
      <c r="G23" s="10" t="str">
        <f t="shared" si="4"/>
        <v>46714.478</v>
      </c>
      <c r="H23" s="8">
        <f t="shared" si="5"/>
        <v>1064</v>
      </c>
      <c r="I23" s="47" t="s">
        <v>95</v>
      </c>
      <c r="J23" s="48" t="s">
        <v>96</v>
      </c>
      <c r="K23" s="47">
        <v>1064</v>
      </c>
      <c r="L23" s="47" t="s">
        <v>97</v>
      </c>
      <c r="M23" s="48" t="s">
        <v>88</v>
      </c>
      <c r="N23" s="48" t="s">
        <v>89</v>
      </c>
      <c r="O23" s="49" t="s">
        <v>98</v>
      </c>
      <c r="P23" s="49" t="s">
        <v>99</v>
      </c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2024-01-23T02:41:45Z</dcterms:modified>
</cp:coreProperties>
</file>