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EB7D39-7FA4-4083-9568-D9CB901BBD5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3" i="1"/>
  <c r="Q24" i="1"/>
  <c r="Q25" i="1"/>
  <c r="Q26" i="1"/>
  <c r="Q27" i="1"/>
  <c r="Q28" i="1"/>
  <c r="Q29" i="1"/>
  <c r="Q32" i="1"/>
  <c r="Q34" i="1"/>
  <c r="Q35" i="1"/>
  <c r="G24" i="2"/>
  <c r="C24" i="2"/>
  <c r="G23" i="2"/>
  <c r="C23" i="2"/>
  <c r="G13" i="2"/>
  <c r="C13" i="2"/>
  <c r="G22" i="2"/>
  <c r="C22" i="2"/>
  <c r="G12" i="2"/>
  <c r="C12" i="2"/>
  <c r="G11" i="2"/>
  <c r="C11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24" i="2"/>
  <c r="D24" i="2"/>
  <c r="B24" i="2"/>
  <c r="A24" i="2"/>
  <c r="H23" i="2"/>
  <c r="D23" i="2"/>
  <c r="B23" i="2"/>
  <c r="A23" i="2"/>
  <c r="H13" i="2"/>
  <c r="D13" i="2"/>
  <c r="B13" i="2"/>
  <c r="A13" i="2"/>
  <c r="H22" i="2"/>
  <c r="D22" i="2"/>
  <c r="B22" i="2"/>
  <c r="A22" i="2"/>
  <c r="H12" i="2"/>
  <c r="D12" i="2"/>
  <c r="B12" i="2"/>
  <c r="A12" i="2"/>
  <c r="H11" i="2"/>
  <c r="D11" i="2"/>
  <c r="B11" i="2"/>
  <c r="A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F17" i="1"/>
  <c r="C17" i="1"/>
  <c r="Q33" i="1"/>
  <c r="Q30" i="1"/>
  <c r="Q31" i="1"/>
  <c r="C7" i="1"/>
  <c r="E21" i="1"/>
  <c r="F21" i="1"/>
  <c r="C8" i="1"/>
  <c r="Q22" i="1"/>
  <c r="E24" i="2"/>
  <c r="E11" i="2"/>
  <c r="E12" i="2"/>
  <c r="E18" i="2"/>
  <c r="E22" i="2"/>
  <c r="E14" i="2"/>
  <c r="E35" i="1"/>
  <c r="F35" i="1"/>
  <c r="G35" i="1"/>
  <c r="I35" i="1"/>
  <c r="E24" i="1"/>
  <c r="F24" i="1"/>
  <c r="G24" i="1"/>
  <c r="I24" i="1"/>
  <c r="E29" i="1"/>
  <c r="F29" i="1"/>
  <c r="G29" i="1"/>
  <c r="I29" i="1"/>
  <c r="E31" i="1"/>
  <c r="F31" i="1"/>
  <c r="G31" i="1"/>
  <c r="I31" i="1"/>
  <c r="E26" i="1"/>
  <c r="F26" i="1"/>
  <c r="G26" i="1"/>
  <c r="I26" i="1"/>
  <c r="E34" i="1"/>
  <c r="F34" i="1"/>
  <c r="G34" i="1"/>
  <c r="I34" i="1"/>
  <c r="E23" i="1"/>
  <c r="F23" i="1"/>
  <c r="G23" i="1"/>
  <c r="I23" i="1"/>
  <c r="E33" i="1"/>
  <c r="F33" i="1"/>
  <c r="G33" i="1"/>
  <c r="K33" i="1"/>
  <c r="E28" i="1"/>
  <c r="F28" i="1"/>
  <c r="G28" i="1"/>
  <c r="I28" i="1"/>
  <c r="E30" i="1"/>
  <c r="F30" i="1"/>
  <c r="G30" i="1"/>
  <c r="I30" i="1"/>
  <c r="E25" i="1"/>
  <c r="F25" i="1"/>
  <c r="G25" i="1"/>
  <c r="I25" i="1"/>
  <c r="G21" i="1"/>
  <c r="E32" i="1"/>
  <c r="F32" i="1"/>
  <c r="G32" i="1"/>
  <c r="I32" i="1"/>
  <c r="E22" i="1"/>
  <c r="F22" i="1"/>
  <c r="G22" i="1"/>
  <c r="H22" i="1"/>
  <c r="E27" i="1"/>
  <c r="F27" i="1"/>
  <c r="G27" i="1"/>
  <c r="I27" i="1"/>
  <c r="I21" i="1"/>
  <c r="E16" i="2"/>
  <c r="E23" i="2"/>
  <c r="E19" i="2"/>
  <c r="E17" i="2"/>
  <c r="E15" i="2"/>
  <c r="E21" i="2"/>
  <c r="E20" i="2"/>
  <c r="E13" i="2"/>
  <c r="C12" i="1"/>
  <c r="C11" i="1"/>
  <c r="O21" i="1" l="1"/>
  <c r="O26" i="1"/>
  <c r="O32" i="1"/>
  <c r="O29" i="1"/>
  <c r="O33" i="1"/>
  <c r="O22" i="1"/>
  <c r="O24" i="1"/>
  <c r="O28" i="1"/>
  <c r="O31" i="1"/>
  <c r="O35" i="1"/>
  <c r="C15" i="1"/>
  <c r="O23" i="1"/>
  <c r="O27" i="1"/>
  <c r="O34" i="1"/>
  <c r="O25" i="1"/>
  <c r="O3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<sst xmlns="http://schemas.openxmlformats.org/spreadsheetml/2006/main" count="197" uniqueCount="116">
  <si>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</si>
  <si>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</si>
  <si>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</si>
  <si>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</si>
  <si>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</si>
  <si>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</si>
  <si>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</si>
  <si>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</si>
  <si>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</si>
  <si>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</si>
  <si>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</si>
  <si>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</si>
  <si>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</si>
  <si>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</si>
  <si>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</si>
  <si>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</si>
  <si>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</si>
  <si>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</si>
  <si>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</si>
  <si>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</si>
  <si>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</si>
  <si>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</si>
  <si>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</si>
  <si>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</si>
  <si>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</si>
  <si>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</si>
  <si>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</si>
  <si>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</si>
  <si>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</si>
  <si>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Bull.102</t>
  </si>
  <si>
    <t>B</t>
  </si>
  <si>
    <t>BBSAG Bull.110</t>
  </si>
  <si>
    <t># of data points:</t>
  </si>
  <si>
    <t>DW Cep / GSC 04251-01296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</si>
  <si>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</si>
  <si>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</si>
  <si>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</si>
  <si>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</si>
  <si>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</si>
  <si>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</si>
  <si>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</si>
  <si>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</si>
  <si>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</si>
  <si>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</si>
  <si>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</si>
  <si>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</si>
  <si>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</si>
  <si>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</si>
  <si>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</si>
  <si>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</si>
  <si>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</si>
  <si>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</si>
  <si>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</si>
  <si>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2426265.459 </t>
  </si>
  <si>
    <t> 15.10.1930 23:00 </t>
  </si>
  <si>
    <t> -0.050 </t>
  </si>
  <si>
    <t>P </t>
  </si>
  <si>
    <t> E.Geyer </t>
  </si>
  <si>
    <t> KVB 16.3 </t>
  </si>
  <si>
    <t>2426980.345 </t>
  </si>
  <si>
    <t> 29.09.1932 20:16 </t>
  </si>
  <si>
    <t> 0.048 </t>
  </si>
  <si>
    <t>2426985.291 </t>
  </si>
  <si>
    <t> 04.10.1932 18:59 </t>
  </si>
  <si>
    <t> -0.040 </t>
  </si>
  <si>
    <t>2427307.398 </t>
  </si>
  <si>
    <t> 22.08.1933 21:33 </t>
  </si>
  <si>
    <t> -0.091 </t>
  </si>
  <si>
    <t>2428339.488 </t>
  </si>
  <si>
    <t> 19.06.1936 23:42 </t>
  </si>
  <si>
    <t> 0.087 </t>
  </si>
  <si>
    <t>2428656.564 </t>
  </si>
  <si>
    <t> 03.05.1937 01:32 </t>
  </si>
  <si>
    <t> 0.038 </t>
  </si>
  <si>
    <t>2428782.424 </t>
  </si>
  <si>
    <t> 05.09.1937 22:10 </t>
  </si>
  <si>
    <t> 0.055 </t>
  </si>
  <si>
    <t>2429104.479 </t>
  </si>
  <si>
    <t> 24.07.1938 23:29 </t>
  </si>
  <si>
    <t> -0.048 </t>
  </si>
  <si>
    <t>2448892.423 </t>
  </si>
  <si>
    <t> 26.09.1992 22:09 </t>
  </si>
  <si>
    <t> -0.916 </t>
  </si>
  <si>
    <t>V </t>
  </si>
  <si>
    <t> J.Vandenbroere </t>
  </si>
  <si>
    <t> BBS 102 </t>
  </si>
  <si>
    <t>2449939.451 </t>
  </si>
  <si>
    <t> 09.08.1995 22:49 </t>
  </si>
  <si>
    <t> -0.901 </t>
  </si>
  <si>
    <t> BBS 110 </t>
  </si>
  <si>
    <t>2450752.385 </t>
  </si>
  <si>
    <t> 30.10.1997 21:14 </t>
  </si>
  <si>
    <t> -0.913 </t>
  </si>
  <si>
    <t> BBS 119 </t>
  </si>
  <si>
    <t>2453639.3021 </t>
  </si>
  <si>
    <t> 25.09.2005 19:15 </t>
  </si>
  <si>
    <t> -0.8344 </t>
  </si>
  <si>
    <t>C </t>
  </si>
  <si>
    <t>-I</t>
  </si>
  <si>
    <t> Agerer </t>
  </si>
  <si>
    <t>BAVM 178 </t>
  </si>
  <si>
    <t>2454384.3026 </t>
  </si>
  <si>
    <t> 10.10.2007 19:15 </t>
  </si>
  <si>
    <t>10888.5</t>
  </si>
  <si>
    <t> -0.8245 </t>
  </si>
  <si>
    <t> F.Agerer </t>
  </si>
  <si>
    <t>BAVM 193 </t>
  </si>
  <si>
    <t>2455874.3117 </t>
  </si>
  <si>
    <t> 08.11.2011 19:28 </t>
  </si>
  <si>
    <t>11480.5</t>
  </si>
  <si>
    <t> -0.7965 </t>
  </si>
  <si>
    <t>-U;-I</t>
  </si>
  <si>
    <t> M.&amp; K.Rätz </t>
  </si>
  <si>
    <t>BAVM 225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</si>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</sst>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Cep - O-C Diagr.</a:t>
            </a:r>
          </a:p>
        </c:rich>
      </c:tx>
      <c:layout>
        <c:manualLayout>
          <c:xMode val="edge"/>
          <c:yMode val="edge"/>
          <c:x val="0.336777293334200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8-429C-A639-27436DDED9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-4.9759999998059357E-2</c:v>
                </c:pt>
                <c:pt idx="2">
                  <c:v>4.8000000002502929E-2</c:v>
                </c:pt>
                <c:pt idx="3">
                  <c:v>-3.9719999997032573E-2</c:v>
                </c:pt>
                <c:pt idx="4">
                  <c:v>-9.0799999998125713E-2</c:v>
                </c:pt>
                <c:pt idx="5">
                  <c:v>8.6600000002363231E-2</c:v>
                </c:pt>
                <c:pt idx="6">
                  <c:v>3.8240000001678709E-2</c:v>
                </c:pt>
                <c:pt idx="7">
                  <c:v>5.5240000001504086E-2</c:v>
                </c:pt>
                <c:pt idx="8">
                  <c:v>-4.7839999999268912E-2</c:v>
                </c:pt>
                <c:pt idx="9">
                  <c:v>0.34284000000479864</c:v>
                </c:pt>
                <c:pt idx="10">
                  <c:v>0.3570800000015879</c:v>
                </c:pt>
                <c:pt idx="11">
                  <c:v>0.34530000000813743</c:v>
                </c:pt>
                <c:pt idx="13">
                  <c:v>0.43392000000312692</c:v>
                </c:pt>
                <c:pt idx="14">
                  <c:v>0.46190000000206055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18-429C-A639-27436DDED9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18-429C-A639-27436DDED9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0.42398000000684988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18-429C-A639-27436DDED9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18-429C-A639-27436DDED9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18-429C-A639-27436DDED9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7.0000000000000001E-3</c:v>
                  </c:pt>
                  <c:pt idx="10">
                    <c:v>8.0000000000000002E-3</c:v>
                  </c:pt>
                  <c:pt idx="11">
                    <c:v>0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18-429C-A639-27436DDED9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130</c:v>
                </c:pt>
                <c:pt idx="5">
                  <c:v>540</c:v>
                </c:pt>
                <c:pt idx="6">
                  <c:v>666</c:v>
                </c:pt>
                <c:pt idx="7">
                  <c:v>716</c:v>
                </c:pt>
                <c:pt idx="8">
                  <c:v>844</c:v>
                </c:pt>
                <c:pt idx="9">
                  <c:v>8706</c:v>
                </c:pt>
                <c:pt idx="10">
                  <c:v>9122</c:v>
                </c:pt>
                <c:pt idx="11">
                  <c:v>9445</c:v>
                </c:pt>
                <c:pt idx="12">
                  <c:v>10592</c:v>
                </c:pt>
                <c:pt idx="13">
                  <c:v>10888</c:v>
                </c:pt>
                <c:pt idx="14">
                  <c:v>11480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-2.3934384772243144E-2</c:v>
                </c:pt>
                <c:pt idx="1">
                  <c:v>-1.2406305747078572E-2</c:v>
                </c:pt>
                <c:pt idx="2">
                  <c:v>-1.2406305747078572E-2</c:v>
                </c:pt>
                <c:pt idx="3">
                  <c:v>-1.232512209197178E-2</c:v>
                </c:pt>
                <c:pt idx="4">
                  <c:v>-7.1293681651370426E-3</c:v>
                </c:pt>
                <c:pt idx="5">
                  <c:v>9.513281131755473E-3</c:v>
                </c:pt>
                <c:pt idx="6">
                  <c:v>1.4627851403483418E-2</c:v>
                </c:pt>
                <c:pt idx="7">
                  <c:v>1.6657442781153237E-2</c:v>
                </c:pt>
                <c:pt idx="8">
                  <c:v>2.1853196707987972E-2</c:v>
                </c:pt>
                <c:pt idx="9">
                  <c:v>0.34098614493279028</c:v>
                </c:pt>
                <c:pt idx="10">
                  <c:v>0.35787234519500322</c:v>
                </c:pt>
                <c:pt idx="11">
                  <c:v>0.37098350549475023</c:v>
                </c:pt>
                <c:pt idx="12">
                  <c:v>0.41754233169849586</c:v>
                </c:pt>
                <c:pt idx="13">
                  <c:v>0.4295575126543012</c:v>
                </c:pt>
                <c:pt idx="14">
                  <c:v>0.45358787456591187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18-429C-A639-27436DDE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46096"/>
        <c:axId val="1"/>
      </c:scatterChart>
      <c:valAx>
        <c:axId val="63744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44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2000129214617399"/>
          <c:w val="0.86363723129650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18</xdr:col>
      <xdr:colOff>114299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6F8F274-F26A-30AE-F65E-CF5F15C3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s="9" t="s">
        <v>34</v>
      </c>
    </row>
    <row r="4" spans="1:6" ht="14.25" thickTop="1" thickBot="1" x14ac:dyDescent="0.25">
      <c r="A4" s="6" t="s">
        <v>0</v>
      </c>
      <c r="C4" s="2">
        <v>26980.296999999999</v>
      </c>
      <c r="D4" s="3">
        <v>2.5168599999999999</v>
      </c>
    </row>
    <row r="5" spans="1:6" ht="13.5" thickTop="1" x14ac:dyDescent="0.2">
      <c r="A5" s="16" t="s">
        <v>36</v>
      </c>
      <c r="B5" s="10"/>
      <c r="C5" s="17">
        <v>-9.5</v>
      </c>
      <c r="D5" s="10" t="s">
        <v>37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26980.296999999999</v>
      </c>
    </row>
    <row r="8" spans="1:6" x14ac:dyDescent="0.2">
      <c r="A8" t="s">
        <v>3</v>
      </c>
      <c r="C8">
        <f>+D4</f>
        <v>2.5168599999999999</v>
      </c>
    </row>
    <row r="9" spans="1:6" x14ac:dyDescent="0.2">
      <c r="A9" s="30" t="s">
        <v>41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18">
        <f ca="1">INTERCEPT(INDIRECT($D$9):G992,INDIRECT($C$9):F992)</f>
        <v>-1.2406305747078572E-2</v>
      </c>
      <c r="D11" s="4"/>
      <c r="E11" s="10"/>
    </row>
    <row r="12" spans="1:6" x14ac:dyDescent="0.2">
      <c r="A12" s="10" t="s">
        <v>17</v>
      </c>
      <c r="B12" s="10"/>
      <c r="C12" s="18">
        <f ca="1">SLOPE(INDIRECT($D$9):G992,INDIRECT($C$9):F992)</f>
        <v>4.0591827553396379E-5</v>
      </c>
      <c r="D12" s="4"/>
      <c r="E12" s="10"/>
    </row>
    <row r="13" spans="1:6" x14ac:dyDescent="0.2">
      <c r="A13" s="10" t="s">
        <v>19</v>
      </c>
      <c r="B13" s="10"/>
      <c r="C13" s="4" t="s">
        <v>14</v>
      </c>
    </row>
    <row r="14" spans="1:6" x14ac:dyDescent="0.2">
      <c r="A14" s="10"/>
      <c r="B14" s="10"/>
      <c r="C14" s="10"/>
    </row>
    <row r="15" spans="1:6" x14ac:dyDescent="0.2">
      <c r="A15" s="21" t="s">
        <v>18</v>
      </c>
      <c r="B15" s="10"/>
      <c r="C15" s="22">
        <f ca="1">(C7+C11)+(C8+C12)*INT(MAX(F21:F3533))</f>
        <v>55874.303387874563</v>
      </c>
      <c r="E15" s="4"/>
      <c r="F15" s="10"/>
    </row>
    <row r="16" spans="1:6" x14ac:dyDescent="0.2">
      <c r="A16" s="25" t="s">
        <v>4</v>
      </c>
      <c r="B16" s="10"/>
      <c r="C16" s="26">
        <f ca="1">+C8+C12</f>
        <v>2.5169005918275533</v>
      </c>
      <c r="E16" s="10"/>
      <c r="F16" s="10"/>
    </row>
    <row r="17" spans="1:31" ht="13.5" thickBot="1" x14ac:dyDescent="0.25">
      <c r="A17" s="23" t="s">
        <v>32</v>
      </c>
      <c r="B17" s="10"/>
      <c r="C17" s="10">
        <f>COUNT(C21:C2191)</f>
        <v>15</v>
      </c>
      <c r="E17" s="23" t="s">
        <v>38</v>
      </c>
      <c r="F17" s="24">
        <f ca="1">TODAY()+15018.5-B5/24</f>
        <v>60332.5</v>
      </c>
    </row>
    <row r="18" spans="1:31" ht="14.25" thickTop="1" thickBot="1" x14ac:dyDescent="0.25">
      <c r="A18" s="25" t="s">
        <v>5</v>
      </c>
      <c r="B18" s="10"/>
      <c r="C18" s="28">
        <f ca="1">+C15</f>
        <v>55874.303387874563</v>
      </c>
      <c r="D18" s="29">
        <f ca="1">+C16</f>
        <v>2.5169005918275533</v>
      </c>
      <c r="E18" s="23" t="s">
        <v>39</v>
      </c>
      <c r="F18" s="24">
        <f ca="1">ROUND(2*(F17-C15)/C16,0)/2+1</f>
        <v>1772.5</v>
      </c>
    </row>
    <row r="19" spans="1:31" ht="13.5" thickTop="1" x14ac:dyDescent="0.2">
      <c r="E19" s="23" t="s">
        <v>40</v>
      </c>
      <c r="F19" s="27">
        <f ca="1">+C15+C16*F18-15018.5-C5/24</f>
        <v>45317.405520222237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49</v>
      </c>
      <c r="I20" s="8" t="s">
        <v>52</v>
      </c>
      <c r="J20" s="8" t="s">
        <v>46</v>
      </c>
      <c r="K20" s="8" t="s">
        <v>44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 x14ac:dyDescent="0.2">
      <c r="A21" s="46" t="s">
        <v>58</v>
      </c>
      <c r="B21" s="47" t="s">
        <v>114</v>
      </c>
      <c r="C21" s="46">
        <v>26265.458999999999</v>
      </c>
      <c r="D21" s="46" t="s">
        <v>52</v>
      </c>
      <c r="E21" s="11">
        <f t="shared" ref="E21:E35" si="0">+(C21-C$7)/C$8</f>
        <v>-284.0197706666242</v>
      </c>
      <c r="F21" s="11">
        <f t="shared" ref="F21:F35" si="1">ROUND(2*E21,0)/2</f>
        <v>-284</v>
      </c>
      <c r="G21" s="11">
        <f t="shared" ref="G21:G35" si="2">+C21-(C$7+F21*C$8)</f>
        <v>-4.9759999998059357E-2</v>
      </c>
      <c r="H21" s="11"/>
      <c r="I21" s="11">
        <f>+G21</f>
        <v>-4.9759999998059357E-2</v>
      </c>
      <c r="K21" s="11"/>
      <c r="L21" s="11"/>
      <c r="M21" s="11"/>
      <c r="N21" s="11"/>
      <c r="O21" s="11">
        <f t="shared" ref="O21:O35" ca="1" si="3">+C$11+C$12*F21</f>
        <v>-2.3934384772243144E-2</v>
      </c>
      <c r="P21" s="11"/>
      <c r="Q21" s="12">
        <f t="shared" ref="Q21:Q35" si="4">+C21-15018.5</f>
        <v>11246.958999999999</v>
      </c>
      <c r="R21" s="11"/>
    </row>
    <row r="22" spans="1:31" x14ac:dyDescent="0.2">
      <c r="A22" s="11" t="s">
        <v>12</v>
      </c>
      <c r="B22" s="11"/>
      <c r="C22" s="15">
        <v>26980.296999999999</v>
      </c>
      <c r="D22" s="15" t="s">
        <v>14</v>
      </c>
      <c r="E22" s="11">
        <f t="shared" si="0"/>
        <v>0</v>
      </c>
      <c r="F22" s="11">
        <f t="shared" si="1"/>
        <v>0</v>
      </c>
      <c r="G22" s="11">
        <f t="shared" si="2"/>
        <v>0</v>
      </c>
      <c r="H22" s="11">
        <f>+G22</f>
        <v>0</v>
      </c>
      <c r="I22" s="11"/>
      <c r="J22" s="11"/>
      <c r="K22" s="11"/>
      <c r="L22" s="11"/>
      <c r="M22" s="11"/>
      <c r="N22" s="11"/>
      <c r="O22" s="11">
        <f t="shared" ca="1" si="3"/>
        <v>-1.2406305747078572E-2</v>
      </c>
      <c r="P22" s="11"/>
      <c r="Q22" s="12">
        <f t="shared" si="4"/>
        <v>11961.796999999999</v>
      </c>
      <c r="R22" s="11"/>
    </row>
    <row r="23" spans="1:31" x14ac:dyDescent="0.2">
      <c r="A23" s="46" t="s">
        <v>58</v>
      </c>
      <c r="B23" s="47" t="s">
        <v>114</v>
      </c>
      <c r="C23" s="46">
        <v>26980.345000000001</v>
      </c>
      <c r="D23" s="46" t="s">
        <v>52</v>
      </c>
      <c r="E23" s="11">
        <f t="shared" si="0"/>
        <v>1.9071382596768566E-2</v>
      </c>
      <c r="F23" s="11">
        <f t="shared" si="1"/>
        <v>0</v>
      </c>
      <c r="G23" s="11">
        <f t="shared" si="2"/>
        <v>4.8000000002502929E-2</v>
      </c>
      <c r="H23" s="11"/>
      <c r="I23" s="11">
        <f t="shared" ref="I23:I32" si="5">+G23</f>
        <v>4.8000000002502929E-2</v>
      </c>
      <c r="K23" s="11"/>
      <c r="L23" s="11"/>
      <c r="M23" s="11"/>
      <c r="N23" s="11"/>
      <c r="O23" s="11">
        <f t="shared" ca="1" si="3"/>
        <v>-1.2406305747078572E-2</v>
      </c>
      <c r="P23" s="11"/>
      <c r="Q23" s="12">
        <f t="shared" si="4"/>
        <v>11961.845000000001</v>
      </c>
      <c r="R23" s="11"/>
    </row>
    <row r="24" spans="1:31" x14ac:dyDescent="0.2">
      <c r="A24" s="46" t="s">
        <v>58</v>
      </c>
      <c r="B24" s="47" t="s">
        <v>114</v>
      </c>
      <c r="C24" s="46">
        <v>26985.291000000001</v>
      </c>
      <c r="D24" s="46" t="s">
        <v>52</v>
      </c>
      <c r="E24" s="11">
        <f t="shared" si="0"/>
        <v>1.9842184309029569</v>
      </c>
      <c r="F24" s="11">
        <f t="shared" si="1"/>
        <v>2</v>
      </c>
      <c r="G24" s="11">
        <f t="shared" si="2"/>
        <v>-3.9719999997032573E-2</v>
      </c>
      <c r="H24" s="11"/>
      <c r="I24" s="11">
        <f t="shared" si="5"/>
        <v>-3.9719999997032573E-2</v>
      </c>
      <c r="K24" s="11"/>
      <c r="L24" s="11"/>
      <c r="M24" s="11"/>
      <c r="N24" s="11"/>
      <c r="O24" s="11">
        <f t="shared" ca="1" si="3"/>
        <v>-1.232512209197178E-2</v>
      </c>
      <c r="P24" s="11"/>
      <c r="Q24" s="12">
        <f t="shared" si="4"/>
        <v>11966.791000000001</v>
      </c>
      <c r="R24" s="11"/>
    </row>
    <row r="25" spans="1:31" x14ac:dyDescent="0.2">
      <c r="A25" s="46" t="s">
        <v>58</v>
      </c>
      <c r="B25" s="47" t="s">
        <v>114</v>
      </c>
      <c r="C25" s="46">
        <v>27307.398000000001</v>
      </c>
      <c r="D25" s="46" t="s">
        <v>52</v>
      </c>
      <c r="E25" s="11">
        <f t="shared" si="0"/>
        <v>129.9639233012573</v>
      </c>
      <c r="F25" s="11">
        <f t="shared" si="1"/>
        <v>130</v>
      </c>
      <c r="G25" s="11">
        <f t="shared" si="2"/>
        <v>-9.0799999998125713E-2</v>
      </c>
      <c r="H25" s="11"/>
      <c r="I25" s="11">
        <f t="shared" si="5"/>
        <v>-9.0799999998125713E-2</v>
      </c>
      <c r="K25" s="11"/>
      <c r="L25" s="11"/>
      <c r="M25" s="11"/>
      <c r="N25" s="11"/>
      <c r="O25" s="11">
        <f t="shared" ca="1" si="3"/>
        <v>-7.1293681651370426E-3</v>
      </c>
      <c r="P25" s="11"/>
      <c r="Q25" s="12">
        <f t="shared" si="4"/>
        <v>12288.898000000001</v>
      </c>
    </row>
    <row r="26" spans="1:31" x14ac:dyDescent="0.2">
      <c r="A26" s="46" t="s">
        <v>58</v>
      </c>
      <c r="B26" s="47" t="s">
        <v>114</v>
      </c>
      <c r="C26" s="46">
        <v>28339.488000000001</v>
      </c>
      <c r="D26" s="46" t="s">
        <v>52</v>
      </c>
      <c r="E26" s="11">
        <f t="shared" si="0"/>
        <v>540.03440795276754</v>
      </c>
      <c r="F26" s="11">
        <f t="shared" si="1"/>
        <v>540</v>
      </c>
      <c r="G26" s="11">
        <f t="shared" si="2"/>
        <v>8.6600000002363231E-2</v>
      </c>
      <c r="H26" s="11"/>
      <c r="I26" s="11">
        <f t="shared" si="5"/>
        <v>8.6600000002363231E-2</v>
      </c>
      <c r="K26" s="11"/>
      <c r="L26" s="11"/>
      <c r="M26" s="11"/>
      <c r="N26" s="11"/>
      <c r="O26" s="11">
        <f t="shared" ca="1" si="3"/>
        <v>9.513281131755473E-3</v>
      </c>
      <c r="P26" s="11"/>
      <c r="Q26" s="12">
        <f t="shared" si="4"/>
        <v>13320.988000000001</v>
      </c>
    </row>
    <row r="27" spans="1:31" x14ac:dyDescent="0.2">
      <c r="A27" s="46" t="s">
        <v>58</v>
      </c>
      <c r="B27" s="47" t="s">
        <v>114</v>
      </c>
      <c r="C27" s="46">
        <v>28656.563999999998</v>
      </c>
      <c r="D27" s="46" t="s">
        <v>52</v>
      </c>
      <c r="E27" s="11">
        <f t="shared" si="0"/>
        <v>666.01519353480126</v>
      </c>
      <c r="F27" s="11">
        <f t="shared" si="1"/>
        <v>666</v>
      </c>
      <c r="G27" s="11">
        <f t="shared" si="2"/>
        <v>3.8240000001678709E-2</v>
      </c>
      <c r="H27" s="11"/>
      <c r="I27" s="11">
        <f t="shared" si="5"/>
        <v>3.8240000001678709E-2</v>
      </c>
      <c r="K27" s="11"/>
      <c r="L27" s="11"/>
      <c r="M27" s="11"/>
      <c r="N27" s="11"/>
      <c r="O27" s="11">
        <f t="shared" ca="1" si="3"/>
        <v>1.4627851403483418E-2</v>
      </c>
      <c r="P27" s="11"/>
      <c r="Q27" s="12">
        <f t="shared" si="4"/>
        <v>13638.063999999998</v>
      </c>
    </row>
    <row r="28" spans="1:31" x14ac:dyDescent="0.2">
      <c r="A28" s="46" t="s">
        <v>58</v>
      </c>
      <c r="B28" s="47" t="s">
        <v>114</v>
      </c>
      <c r="C28" s="46">
        <v>28782.423999999999</v>
      </c>
      <c r="D28" s="46" t="s">
        <v>52</v>
      </c>
      <c r="E28" s="11">
        <f t="shared" si="0"/>
        <v>716.02194798280414</v>
      </c>
      <c r="F28" s="11">
        <f t="shared" si="1"/>
        <v>716</v>
      </c>
      <c r="G28" s="11">
        <f t="shared" si="2"/>
        <v>5.5240000001504086E-2</v>
      </c>
      <c r="H28" s="11"/>
      <c r="I28" s="11">
        <f t="shared" si="5"/>
        <v>5.5240000001504086E-2</v>
      </c>
      <c r="K28" s="11"/>
      <c r="L28" s="11"/>
      <c r="M28" s="11"/>
      <c r="N28" s="11"/>
      <c r="O28" s="11">
        <f t="shared" ca="1" si="3"/>
        <v>1.6657442781153237E-2</v>
      </c>
      <c r="P28" s="11"/>
      <c r="Q28" s="12">
        <f t="shared" si="4"/>
        <v>13763.923999999999</v>
      </c>
    </row>
    <row r="29" spans="1:31" x14ac:dyDescent="0.2">
      <c r="A29" s="46" t="s">
        <v>58</v>
      </c>
      <c r="B29" s="47" t="s">
        <v>114</v>
      </c>
      <c r="C29" s="46">
        <v>29104.478999999999</v>
      </c>
      <c r="D29" s="46" t="s">
        <v>52</v>
      </c>
      <c r="E29" s="11">
        <f t="shared" si="0"/>
        <v>843.98099218867992</v>
      </c>
      <c r="F29" s="11">
        <f t="shared" si="1"/>
        <v>844</v>
      </c>
      <c r="G29" s="11">
        <f t="shared" si="2"/>
        <v>-4.7839999999268912E-2</v>
      </c>
      <c r="H29" s="11"/>
      <c r="I29" s="11">
        <f t="shared" si="5"/>
        <v>-4.7839999999268912E-2</v>
      </c>
      <c r="K29" s="11"/>
      <c r="L29" s="11"/>
      <c r="M29" s="11"/>
      <c r="N29" s="11"/>
      <c r="O29" s="11">
        <f t="shared" ca="1" si="3"/>
        <v>2.1853196707987972E-2</v>
      </c>
      <c r="P29" s="11"/>
      <c r="Q29" s="12">
        <f t="shared" si="4"/>
        <v>14085.978999999999</v>
      </c>
    </row>
    <row r="30" spans="1:31" x14ac:dyDescent="0.2">
      <c r="A30" s="11" t="s">
        <v>29</v>
      </c>
      <c r="B30" s="11"/>
      <c r="C30" s="15">
        <v>48892.423000000003</v>
      </c>
      <c r="D30" s="15">
        <v>7.0000000000000001E-3</v>
      </c>
      <c r="E30" s="11">
        <f t="shared" si="0"/>
        <v>8706.136217350193</v>
      </c>
      <c r="F30" s="11">
        <f t="shared" si="1"/>
        <v>8706</v>
      </c>
      <c r="G30" s="11">
        <f t="shared" si="2"/>
        <v>0.34284000000479864</v>
      </c>
      <c r="H30" s="11"/>
      <c r="I30" s="11">
        <f t="shared" si="5"/>
        <v>0.34284000000479864</v>
      </c>
      <c r="J30" s="11"/>
      <c r="K30" s="11"/>
      <c r="L30" s="11"/>
      <c r="M30" s="11"/>
      <c r="N30" s="11"/>
      <c r="O30" s="11">
        <f t="shared" ca="1" si="3"/>
        <v>0.34098614493279028</v>
      </c>
      <c r="P30" s="11"/>
      <c r="Q30" s="12">
        <f t="shared" si="4"/>
        <v>33873.923000000003</v>
      </c>
      <c r="R30" s="11"/>
      <c r="AA30">
        <v>14</v>
      </c>
      <c r="AC30" t="s">
        <v>28</v>
      </c>
      <c r="AE30" t="s">
        <v>30</v>
      </c>
    </row>
    <row r="31" spans="1:31" x14ac:dyDescent="0.2">
      <c r="A31" s="11" t="s">
        <v>31</v>
      </c>
      <c r="B31" s="11"/>
      <c r="C31" s="15">
        <v>49939.451000000001</v>
      </c>
      <c r="D31" s="15">
        <v>8.0000000000000002E-3</v>
      </c>
      <c r="E31" s="11">
        <f t="shared" si="0"/>
        <v>9122.1418751936944</v>
      </c>
      <c r="F31" s="11">
        <f t="shared" si="1"/>
        <v>9122</v>
      </c>
      <c r="G31" s="11">
        <f t="shared" si="2"/>
        <v>0.3570800000015879</v>
      </c>
      <c r="H31" s="11"/>
      <c r="I31" s="11">
        <f t="shared" si="5"/>
        <v>0.3570800000015879</v>
      </c>
      <c r="J31" s="11"/>
      <c r="K31" s="11"/>
      <c r="L31" s="11"/>
      <c r="M31" s="11"/>
      <c r="N31" s="11"/>
      <c r="O31" s="11">
        <f t="shared" ca="1" si="3"/>
        <v>0.35787234519500322</v>
      </c>
      <c r="P31" s="11"/>
      <c r="Q31" s="12">
        <f t="shared" si="4"/>
        <v>34920.951000000001</v>
      </c>
      <c r="R31" s="11"/>
      <c r="AA31">
        <v>12</v>
      </c>
      <c r="AC31" t="s">
        <v>28</v>
      </c>
      <c r="AE31" t="s">
        <v>30</v>
      </c>
    </row>
    <row r="32" spans="1:31" x14ac:dyDescent="0.2">
      <c r="A32" s="46" t="s">
        <v>93</v>
      </c>
      <c r="B32" s="47" t="s">
        <v>115</v>
      </c>
      <c r="C32" s="46">
        <v>50752.385000000002</v>
      </c>
      <c r="D32" s="46" t="s">
        <v>52</v>
      </c>
      <c r="E32" s="11">
        <f t="shared" si="0"/>
        <v>9445.1371947585503</v>
      </c>
      <c r="F32" s="11">
        <f t="shared" si="1"/>
        <v>9445</v>
      </c>
      <c r="G32" s="11">
        <f t="shared" si="2"/>
        <v>0.34530000000813743</v>
      </c>
      <c r="H32" s="11"/>
      <c r="I32" s="11">
        <f t="shared" si="5"/>
        <v>0.34530000000813743</v>
      </c>
      <c r="K32" s="11"/>
      <c r="L32" s="11"/>
      <c r="M32" s="11"/>
      <c r="N32" s="11"/>
      <c r="O32" s="11">
        <f t="shared" ca="1" si="3"/>
        <v>0.37098350549475023</v>
      </c>
      <c r="P32" s="11"/>
      <c r="Q32" s="12">
        <f t="shared" si="4"/>
        <v>35733.885000000002</v>
      </c>
    </row>
    <row r="33" spans="1:18" x14ac:dyDescent="0.2">
      <c r="A33" s="13" t="s">
        <v>35</v>
      </c>
      <c r="B33" s="14"/>
      <c r="C33" s="15">
        <v>53639.302100000001</v>
      </c>
      <c r="D33" s="15">
        <v>5.0000000000000001E-4</v>
      </c>
      <c r="E33" s="11">
        <f t="shared" si="0"/>
        <v>10592.168455933188</v>
      </c>
      <c r="F33" s="11">
        <f t="shared" si="1"/>
        <v>10592</v>
      </c>
      <c r="G33" s="11">
        <f t="shared" si="2"/>
        <v>0.42398000000684988</v>
      </c>
      <c r="H33" s="11"/>
      <c r="I33" s="11"/>
      <c r="K33" s="11">
        <f>+G33</f>
        <v>0.42398000000684988</v>
      </c>
      <c r="L33" s="11"/>
      <c r="M33" s="11"/>
      <c r="N33" s="11"/>
      <c r="O33" s="11">
        <f t="shared" ca="1" si="3"/>
        <v>0.41754233169849586</v>
      </c>
      <c r="P33" s="11"/>
      <c r="Q33" s="12">
        <f t="shared" si="4"/>
        <v>38620.802100000001</v>
      </c>
      <c r="R33" s="11"/>
    </row>
    <row r="34" spans="1:18" x14ac:dyDescent="0.2">
      <c r="A34" s="46" t="s">
        <v>106</v>
      </c>
      <c r="B34" s="47" t="s">
        <v>115</v>
      </c>
      <c r="C34" s="46">
        <v>54384.302600000003</v>
      </c>
      <c r="D34" s="46" t="s">
        <v>52</v>
      </c>
      <c r="E34" s="11">
        <f t="shared" si="0"/>
        <v>10888.172405298668</v>
      </c>
      <c r="F34" s="11">
        <f t="shared" si="1"/>
        <v>10888</v>
      </c>
      <c r="G34" s="11">
        <f t="shared" si="2"/>
        <v>0.43392000000312692</v>
      </c>
      <c r="H34" s="11"/>
      <c r="I34" s="11">
        <f>+G34</f>
        <v>0.43392000000312692</v>
      </c>
      <c r="L34" s="11"/>
      <c r="M34" s="11"/>
      <c r="N34" s="11"/>
      <c r="O34" s="11">
        <f t="shared" ca="1" si="3"/>
        <v>0.4295575126543012</v>
      </c>
      <c r="P34" s="11"/>
      <c r="Q34" s="12">
        <f t="shared" si="4"/>
        <v>39365.802600000003</v>
      </c>
    </row>
    <row r="35" spans="1:18" x14ac:dyDescent="0.2">
      <c r="A35" s="46" t="s">
        <v>113</v>
      </c>
      <c r="B35" s="47" t="s">
        <v>115</v>
      </c>
      <c r="C35" s="46">
        <v>55874.311699999998</v>
      </c>
      <c r="D35" s="46" t="s">
        <v>52</v>
      </c>
      <c r="E35" s="11">
        <f t="shared" si="0"/>
        <v>11480.183522325438</v>
      </c>
      <c r="F35" s="11">
        <f t="shared" si="1"/>
        <v>11480</v>
      </c>
      <c r="G35" s="11">
        <f t="shared" si="2"/>
        <v>0.46190000000206055</v>
      </c>
      <c r="H35" s="11"/>
      <c r="I35" s="11">
        <f>+G35</f>
        <v>0.46190000000206055</v>
      </c>
      <c r="L35" s="11"/>
      <c r="M35" s="11"/>
      <c r="N35" s="11"/>
      <c r="O35" s="11">
        <f t="shared" ca="1" si="3"/>
        <v>0.45358787456591187</v>
      </c>
      <c r="P35" s="11"/>
      <c r="Q35" s="12">
        <f t="shared" si="4"/>
        <v>40855.811699999998</v>
      </c>
    </row>
    <row r="36" spans="1:18" x14ac:dyDescent="0.2">
      <c r="A36" s="48"/>
      <c r="B36" s="47"/>
      <c r="C36" s="48"/>
      <c r="D36" s="47"/>
    </row>
    <row r="37" spans="1:18" x14ac:dyDescent="0.2">
      <c r="B37" s="4"/>
      <c r="D37" s="4"/>
    </row>
    <row r="38" spans="1:18" x14ac:dyDescent="0.2">
      <c r="D38" s="4"/>
    </row>
    <row r="39" spans="1:18" x14ac:dyDescent="0.2">
      <c r="D39" s="4"/>
    </row>
    <row r="40" spans="1:18" x14ac:dyDescent="0.2">
      <c r="D40" s="4"/>
    </row>
    <row r="41" spans="1:18" x14ac:dyDescent="0.2">
      <c r="D41" s="4"/>
    </row>
    <row r="42" spans="1:18" x14ac:dyDescent="0.2">
      <c r="D42" s="4"/>
    </row>
    <row r="43" spans="1:18" x14ac:dyDescent="0.2">
      <c r="D43" s="4"/>
    </row>
    <row r="44" spans="1:18" x14ac:dyDescent="0.2">
      <c r="D44" s="4"/>
    </row>
    <row r="45" spans="1:18" x14ac:dyDescent="0.2">
      <c r="D45" s="4"/>
    </row>
    <row r="46" spans="1:18" x14ac:dyDescent="0.2">
      <c r="D46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6"/>
  <sheetViews>
    <sheetView topLeftCell="A2" workbookViewId="0">
      <selection activeCell="A14" sqref="A14:D24"/>
    </sheetView>
  </sheetViews>
  <sheetFormatPr defaultRowHeight="12.75" x14ac:dyDescent="0.2"/>
  <cols>
    <col min="1" max="1" width="19.7109375" style="33" customWidth="1"/>
    <col min="2" max="2" width="4.42578125" style="10" customWidth="1"/>
    <col min="3" max="3" width="12.7109375" style="3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42</v>
      </c>
      <c r="I1" s="34" t="s">
        <v>43</v>
      </c>
      <c r="J1" s="35" t="s">
        <v>44</v>
      </c>
    </row>
    <row r="2" spans="1:16" x14ac:dyDescent="0.2">
      <c r="I2" s="36" t="s">
        <v>45</v>
      </c>
      <c r="J2" s="37" t="s">
        <v>46</v>
      </c>
    </row>
    <row r="3" spans="1:16" x14ac:dyDescent="0.2">
      <c r="A3" s="38" t="s">
        <v>47</v>
      </c>
      <c r="I3" s="36" t="s">
        <v>48</v>
      </c>
      <c r="J3" s="37" t="s">
        <v>49</v>
      </c>
    </row>
    <row r="4" spans="1:16" x14ac:dyDescent="0.2">
      <c r="I4" s="36" t="s">
        <v>50</v>
      </c>
      <c r="J4" s="37" t="s">
        <v>49</v>
      </c>
    </row>
    <row r="5" spans="1:16" ht="13.5" thickBot="1" x14ac:dyDescent="0.25">
      <c r="I5" s="39" t="s">
        <v>51</v>
      </c>
      <c r="J5" s="40" t="s">
        <v>52</v>
      </c>
    </row>
    <row r="10" spans="1:16" ht="13.5" thickBot="1" x14ac:dyDescent="0.25"/>
    <row r="11" spans="1:16" ht="12.75" customHeight="1" thickBot="1" x14ac:dyDescent="0.25">
      <c r="A11" s="33" t="str">
        <f t="shared" ref="A11:A24" si="0">P11</f>
        <v> BBS 102 </v>
      </c>
      <c r="B11" s="4" t="str">
        <f t="shared" ref="B11:B24" si="1">IF(H11=INT(H11),"I","II")</f>
        <v>II</v>
      </c>
      <c r="C11" s="33">
        <f t="shared" ref="C11:C24" si="2">1*G11</f>
        <v>48892.423000000003</v>
      </c>
      <c r="D11" s="10" t="str">
        <f t="shared" ref="D11:D24" si="3">VLOOKUP(F11,I$1:J$5,2,FALSE)</f>
        <v>vis</v>
      </c>
      <c r="E11" s="41">
        <f>VLOOKUP(C11,Active!C$21:E$973,3,FALSE)</f>
        <v>8706.136217350193</v>
      </c>
      <c r="F11" s="4" t="s">
        <v>51</v>
      </c>
      <c r="G11" s="10" t="str">
        <f t="shared" ref="G11:G24" si="4">MID(I11,3,LEN(I11)-3)</f>
        <v>48892.423</v>
      </c>
      <c r="H11" s="33">
        <f t="shared" ref="H11:H24" si="5">1*K11</f>
        <v>8706.5</v>
      </c>
      <c r="I11" s="42" t="s">
        <v>80</v>
      </c>
      <c r="J11" s="43" t="s">
        <v>81</v>
      </c>
      <c r="K11" s="42">
        <v>8706.5</v>
      </c>
      <c r="L11" s="42" t="s">
        <v>82</v>
      </c>
      <c r="M11" s="43" t="s">
        <v>83</v>
      </c>
      <c r="N11" s="43"/>
      <c r="O11" s="44" t="s">
        <v>84</v>
      </c>
      <c r="P11" s="44" t="s">
        <v>85</v>
      </c>
    </row>
    <row r="12" spans="1:16" ht="12.75" customHeight="1" thickBot="1" x14ac:dyDescent="0.25">
      <c r="A12" s="33" t="str">
        <f t="shared" si="0"/>
        <v> BBS 110 </v>
      </c>
      <c r="B12" s="4" t="str">
        <f t="shared" si="1"/>
        <v>II</v>
      </c>
      <c r="C12" s="33">
        <f t="shared" si="2"/>
        <v>49939.451000000001</v>
      </c>
      <c r="D12" s="10" t="str">
        <f t="shared" si="3"/>
        <v>vis</v>
      </c>
      <c r="E12" s="41">
        <f>VLOOKUP(C12,Active!C$21:E$973,3,FALSE)</f>
        <v>9122.1418751936944</v>
      </c>
      <c r="F12" s="4" t="s">
        <v>51</v>
      </c>
      <c r="G12" s="10" t="str">
        <f t="shared" si="4"/>
        <v>49939.451</v>
      </c>
      <c r="H12" s="33">
        <f t="shared" si="5"/>
        <v>9122.5</v>
      </c>
      <c r="I12" s="42" t="s">
        <v>86</v>
      </c>
      <c r="J12" s="43" t="s">
        <v>87</v>
      </c>
      <c r="K12" s="42">
        <v>9122.5</v>
      </c>
      <c r="L12" s="42" t="s">
        <v>88</v>
      </c>
      <c r="M12" s="43" t="s">
        <v>83</v>
      </c>
      <c r="N12" s="43"/>
      <c r="O12" s="44" t="s">
        <v>84</v>
      </c>
      <c r="P12" s="44" t="s">
        <v>89</v>
      </c>
    </row>
    <row r="13" spans="1:16" ht="12.75" customHeight="1" thickBot="1" x14ac:dyDescent="0.25">
      <c r="A13" s="33" t="str">
        <f t="shared" si="0"/>
        <v>BAVM 178 </v>
      </c>
      <c r="B13" s="4" t="str">
        <f t="shared" si="1"/>
        <v>II</v>
      </c>
      <c r="C13" s="33">
        <f t="shared" si="2"/>
        <v>53639.302100000001</v>
      </c>
      <c r="D13" s="10" t="str">
        <f t="shared" si="3"/>
        <v>vis</v>
      </c>
      <c r="E13" s="41">
        <f>VLOOKUP(C13,Active!C$21:E$973,3,FALSE)</f>
        <v>10592.168455933188</v>
      </c>
      <c r="F13" s="4" t="s">
        <v>51</v>
      </c>
      <c r="G13" s="10" t="str">
        <f t="shared" si="4"/>
        <v>53639.3021</v>
      </c>
      <c r="H13" s="33">
        <f t="shared" si="5"/>
        <v>10592.5</v>
      </c>
      <c r="I13" s="42" t="s">
        <v>94</v>
      </c>
      <c r="J13" s="43" t="s">
        <v>95</v>
      </c>
      <c r="K13" s="42">
        <v>10592.5</v>
      </c>
      <c r="L13" s="42" t="s">
        <v>96</v>
      </c>
      <c r="M13" s="43" t="s">
        <v>97</v>
      </c>
      <c r="N13" s="43" t="s">
        <v>98</v>
      </c>
      <c r="O13" s="44" t="s">
        <v>99</v>
      </c>
      <c r="P13" s="45" t="s">
        <v>100</v>
      </c>
    </row>
    <row r="14" spans="1:16" ht="12.75" customHeight="1" thickBot="1" x14ac:dyDescent="0.25">
      <c r="A14" s="33" t="str">
        <f t="shared" si="0"/>
        <v> KVB 16.3 </v>
      </c>
      <c r="B14" s="4" t="str">
        <f t="shared" si="1"/>
        <v>I</v>
      </c>
      <c r="C14" s="33">
        <f t="shared" si="2"/>
        <v>26265.458999999999</v>
      </c>
      <c r="D14" s="10" t="str">
        <f t="shared" si="3"/>
        <v>vis</v>
      </c>
      <c r="E14" s="41">
        <f>VLOOKUP(C14,Active!C$21:E$973,3,FALSE)</f>
        <v>-284.0197706666242</v>
      </c>
      <c r="F14" s="4" t="s">
        <v>51</v>
      </c>
      <c r="G14" s="10" t="str">
        <f t="shared" si="4"/>
        <v>26265.459</v>
      </c>
      <c r="H14" s="33">
        <f t="shared" si="5"/>
        <v>-284</v>
      </c>
      <c r="I14" s="42" t="s">
        <v>53</v>
      </c>
      <c r="J14" s="43" t="s">
        <v>54</v>
      </c>
      <c r="K14" s="42">
        <v>-284</v>
      </c>
      <c r="L14" s="42" t="s">
        <v>55</v>
      </c>
      <c r="M14" s="43" t="s">
        <v>56</v>
      </c>
      <c r="N14" s="43"/>
      <c r="O14" s="44" t="s">
        <v>57</v>
      </c>
      <c r="P14" s="44" t="s">
        <v>58</v>
      </c>
    </row>
    <row r="15" spans="1:16" ht="12.75" customHeight="1" thickBot="1" x14ac:dyDescent="0.25">
      <c r="A15" s="33" t="str">
        <f t="shared" si="0"/>
        <v> KVB 16.3 </v>
      </c>
      <c r="B15" s="4" t="str">
        <f t="shared" si="1"/>
        <v>I</v>
      </c>
      <c r="C15" s="33">
        <f t="shared" si="2"/>
        <v>26980.345000000001</v>
      </c>
      <c r="D15" s="10" t="str">
        <f t="shared" si="3"/>
        <v>vis</v>
      </c>
      <c r="E15" s="41">
        <f>VLOOKUP(C15,Active!C$21:E$973,3,FALSE)</f>
        <v>1.9071382596768566E-2</v>
      </c>
      <c r="F15" s="4" t="s">
        <v>51</v>
      </c>
      <c r="G15" s="10" t="str">
        <f t="shared" si="4"/>
        <v>26980.345</v>
      </c>
      <c r="H15" s="33">
        <f t="shared" si="5"/>
        <v>0</v>
      </c>
      <c r="I15" s="42" t="s">
        <v>59</v>
      </c>
      <c r="J15" s="43" t="s">
        <v>60</v>
      </c>
      <c r="K15" s="42">
        <v>0</v>
      </c>
      <c r="L15" s="42" t="s">
        <v>61</v>
      </c>
      <c r="M15" s="43" t="s">
        <v>56</v>
      </c>
      <c r="N15" s="43"/>
      <c r="O15" s="44" t="s">
        <v>57</v>
      </c>
      <c r="P15" s="44" t="s">
        <v>58</v>
      </c>
    </row>
    <row r="16" spans="1:16" ht="12.75" customHeight="1" thickBot="1" x14ac:dyDescent="0.25">
      <c r="A16" s="33" t="str">
        <f t="shared" si="0"/>
        <v> KVB 16.3 </v>
      </c>
      <c r="B16" s="4" t="str">
        <f t="shared" si="1"/>
        <v>I</v>
      </c>
      <c r="C16" s="33">
        <f t="shared" si="2"/>
        <v>26985.291000000001</v>
      </c>
      <c r="D16" s="10" t="str">
        <f t="shared" si="3"/>
        <v>vis</v>
      </c>
      <c r="E16" s="41">
        <f>VLOOKUP(C16,Active!C$21:E$973,3,FALSE)</f>
        <v>1.9842184309029569</v>
      </c>
      <c r="F16" s="4" t="s">
        <v>51</v>
      </c>
      <c r="G16" s="10" t="str">
        <f t="shared" si="4"/>
        <v>26985.291</v>
      </c>
      <c r="H16" s="33">
        <f t="shared" si="5"/>
        <v>2</v>
      </c>
      <c r="I16" s="42" t="s">
        <v>62</v>
      </c>
      <c r="J16" s="43" t="s">
        <v>63</v>
      </c>
      <c r="K16" s="42">
        <v>2</v>
      </c>
      <c r="L16" s="42" t="s">
        <v>64</v>
      </c>
      <c r="M16" s="43" t="s">
        <v>56</v>
      </c>
      <c r="N16" s="43"/>
      <c r="O16" s="44" t="s">
        <v>57</v>
      </c>
      <c r="P16" s="44" t="s">
        <v>58</v>
      </c>
    </row>
    <row r="17" spans="1:16" ht="12.75" customHeight="1" thickBot="1" x14ac:dyDescent="0.25">
      <c r="A17" s="33" t="str">
        <f t="shared" si="0"/>
        <v> KVB 16.3 </v>
      </c>
      <c r="B17" s="4" t="str">
        <f t="shared" si="1"/>
        <v>I</v>
      </c>
      <c r="C17" s="33">
        <f t="shared" si="2"/>
        <v>27307.398000000001</v>
      </c>
      <c r="D17" s="10" t="str">
        <f t="shared" si="3"/>
        <v>vis</v>
      </c>
      <c r="E17" s="41">
        <f>VLOOKUP(C17,Active!C$21:E$973,3,FALSE)</f>
        <v>129.9639233012573</v>
      </c>
      <c r="F17" s="4" t="s">
        <v>51</v>
      </c>
      <c r="G17" s="10" t="str">
        <f t="shared" si="4"/>
        <v>27307.398</v>
      </c>
      <c r="H17" s="33">
        <f t="shared" si="5"/>
        <v>130</v>
      </c>
      <c r="I17" s="42" t="s">
        <v>65</v>
      </c>
      <c r="J17" s="43" t="s">
        <v>66</v>
      </c>
      <c r="K17" s="42">
        <v>130</v>
      </c>
      <c r="L17" s="42" t="s">
        <v>67</v>
      </c>
      <c r="M17" s="43" t="s">
        <v>56</v>
      </c>
      <c r="N17" s="43"/>
      <c r="O17" s="44" t="s">
        <v>57</v>
      </c>
      <c r="P17" s="44" t="s">
        <v>58</v>
      </c>
    </row>
    <row r="18" spans="1:16" ht="12.75" customHeight="1" thickBot="1" x14ac:dyDescent="0.25">
      <c r="A18" s="33" t="str">
        <f t="shared" si="0"/>
        <v> KVB 16.3 </v>
      </c>
      <c r="B18" s="4" t="str">
        <f t="shared" si="1"/>
        <v>I</v>
      </c>
      <c r="C18" s="33">
        <f t="shared" si="2"/>
        <v>28339.488000000001</v>
      </c>
      <c r="D18" s="10" t="str">
        <f t="shared" si="3"/>
        <v>vis</v>
      </c>
      <c r="E18" s="41">
        <f>VLOOKUP(C18,Active!C$21:E$973,3,FALSE)</f>
        <v>540.03440795276754</v>
      </c>
      <c r="F18" s="4" t="s">
        <v>51</v>
      </c>
      <c r="G18" s="10" t="str">
        <f t="shared" si="4"/>
        <v>28339.488</v>
      </c>
      <c r="H18" s="33">
        <f t="shared" si="5"/>
        <v>540</v>
      </c>
      <c r="I18" s="42" t="s">
        <v>68</v>
      </c>
      <c r="J18" s="43" t="s">
        <v>69</v>
      </c>
      <c r="K18" s="42">
        <v>540</v>
      </c>
      <c r="L18" s="42" t="s">
        <v>70</v>
      </c>
      <c r="M18" s="43" t="s">
        <v>56</v>
      </c>
      <c r="N18" s="43"/>
      <c r="O18" s="44" t="s">
        <v>57</v>
      </c>
      <c r="P18" s="44" t="s">
        <v>58</v>
      </c>
    </row>
    <row r="19" spans="1:16" ht="12.75" customHeight="1" thickBot="1" x14ac:dyDescent="0.25">
      <c r="A19" s="33" t="str">
        <f t="shared" si="0"/>
        <v> KVB 16.3 </v>
      </c>
      <c r="B19" s="4" t="str">
        <f t="shared" si="1"/>
        <v>I</v>
      </c>
      <c r="C19" s="33">
        <f t="shared" si="2"/>
        <v>28656.563999999998</v>
      </c>
      <c r="D19" s="10" t="str">
        <f t="shared" si="3"/>
        <v>vis</v>
      </c>
      <c r="E19" s="41">
        <f>VLOOKUP(C19,Active!C$21:E$973,3,FALSE)</f>
        <v>666.01519353480126</v>
      </c>
      <c r="F19" s="4" t="s">
        <v>51</v>
      </c>
      <c r="G19" s="10" t="str">
        <f t="shared" si="4"/>
        <v>28656.564</v>
      </c>
      <c r="H19" s="33">
        <f t="shared" si="5"/>
        <v>666</v>
      </c>
      <c r="I19" s="42" t="s">
        <v>71</v>
      </c>
      <c r="J19" s="43" t="s">
        <v>72</v>
      </c>
      <c r="K19" s="42">
        <v>666</v>
      </c>
      <c r="L19" s="42" t="s">
        <v>73</v>
      </c>
      <c r="M19" s="43" t="s">
        <v>56</v>
      </c>
      <c r="N19" s="43"/>
      <c r="O19" s="44" t="s">
        <v>57</v>
      </c>
      <c r="P19" s="44" t="s">
        <v>58</v>
      </c>
    </row>
    <row r="20" spans="1:16" ht="12.75" customHeight="1" thickBot="1" x14ac:dyDescent="0.25">
      <c r="A20" s="33" t="str">
        <f t="shared" si="0"/>
        <v> KVB 16.3 </v>
      </c>
      <c r="B20" s="4" t="str">
        <f t="shared" si="1"/>
        <v>I</v>
      </c>
      <c r="C20" s="33">
        <f t="shared" si="2"/>
        <v>28782.423999999999</v>
      </c>
      <c r="D20" s="10" t="str">
        <f t="shared" si="3"/>
        <v>vis</v>
      </c>
      <c r="E20" s="41">
        <f>VLOOKUP(C20,Active!C$21:E$973,3,FALSE)</f>
        <v>716.02194798280414</v>
      </c>
      <c r="F20" s="4" t="s">
        <v>51</v>
      </c>
      <c r="G20" s="10" t="str">
        <f t="shared" si="4"/>
        <v>28782.424</v>
      </c>
      <c r="H20" s="33">
        <f t="shared" si="5"/>
        <v>716</v>
      </c>
      <c r="I20" s="42" t="s">
        <v>74</v>
      </c>
      <c r="J20" s="43" t="s">
        <v>75</v>
      </c>
      <c r="K20" s="42">
        <v>716</v>
      </c>
      <c r="L20" s="42" t="s">
        <v>76</v>
      </c>
      <c r="M20" s="43" t="s">
        <v>56</v>
      </c>
      <c r="N20" s="43"/>
      <c r="O20" s="44" t="s">
        <v>57</v>
      </c>
      <c r="P20" s="44" t="s">
        <v>58</v>
      </c>
    </row>
    <row r="21" spans="1:16" ht="12.75" customHeight="1" thickBot="1" x14ac:dyDescent="0.25">
      <c r="A21" s="33" t="str">
        <f t="shared" si="0"/>
        <v> KVB 16.3 </v>
      </c>
      <c r="B21" s="4" t="str">
        <f t="shared" si="1"/>
        <v>I</v>
      </c>
      <c r="C21" s="33">
        <f t="shared" si="2"/>
        <v>29104.478999999999</v>
      </c>
      <c r="D21" s="10" t="str">
        <f t="shared" si="3"/>
        <v>vis</v>
      </c>
      <c r="E21" s="41">
        <f>VLOOKUP(C21,Active!C$21:E$973,3,FALSE)</f>
        <v>843.98099218867992</v>
      </c>
      <c r="F21" s="4" t="s">
        <v>51</v>
      </c>
      <c r="G21" s="10" t="str">
        <f t="shared" si="4"/>
        <v>29104.479</v>
      </c>
      <c r="H21" s="33">
        <f t="shared" si="5"/>
        <v>844</v>
      </c>
      <c r="I21" s="42" t="s">
        <v>77</v>
      </c>
      <c r="J21" s="43" t="s">
        <v>78</v>
      </c>
      <c r="K21" s="42">
        <v>844</v>
      </c>
      <c r="L21" s="42" t="s">
        <v>79</v>
      </c>
      <c r="M21" s="43" t="s">
        <v>56</v>
      </c>
      <c r="N21" s="43"/>
      <c r="O21" s="44" t="s">
        <v>57</v>
      </c>
      <c r="P21" s="44" t="s">
        <v>58</v>
      </c>
    </row>
    <row r="22" spans="1:16" ht="12.75" customHeight="1" thickBot="1" x14ac:dyDescent="0.25">
      <c r="A22" s="33" t="str">
        <f t="shared" si="0"/>
        <v> BBS 119 </v>
      </c>
      <c r="B22" s="4" t="str">
        <f t="shared" si="1"/>
        <v>II</v>
      </c>
      <c r="C22" s="33">
        <f t="shared" si="2"/>
        <v>50752.385000000002</v>
      </c>
      <c r="D22" s="10" t="str">
        <f t="shared" si="3"/>
        <v>vis</v>
      </c>
      <c r="E22" s="41">
        <f>VLOOKUP(C22,Active!C$21:E$973,3,FALSE)</f>
        <v>9445.1371947585503</v>
      </c>
      <c r="F22" s="4" t="s">
        <v>51</v>
      </c>
      <c r="G22" s="10" t="str">
        <f t="shared" si="4"/>
        <v>50752.385</v>
      </c>
      <c r="H22" s="33">
        <f t="shared" si="5"/>
        <v>9445.5</v>
      </c>
      <c r="I22" s="42" t="s">
        <v>90</v>
      </c>
      <c r="J22" s="43" t="s">
        <v>91</v>
      </c>
      <c r="K22" s="42">
        <v>9445.5</v>
      </c>
      <c r="L22" s="42" t="s">
        <v>92</v>
      </c>
      <c r="M22" s="43" t="s">
        <v>83</v>
      </c>
      <c r="N22" s="43"/>
      <c r="O22" s="44" t="s">
        <v>84</v>
      </c>
      <c r="P22" s="44" t="s">
        <v>93</v>
      </c>
    </row>
    <row r="23" spans="1:16" ht="12.75" customHeight="1" thickBot="1" x14ac:dyDescent="0.25">
      <c r="A23" s="33" t="str">
        <f t="shared" si="0"/>
        <v>BAVM 193 </v>
      </c>
      <c r="B23" s="4" t="str">
        <f t="shared" si="1"/>
        <v>II</v>
      </c>
      <c r="C23" s="33">
        <f t="shared" si="2"/>
        <v>54384.302600000003</v>
      </c>
      <c r="D23" s="10" t="str">
        <f t="shared" si="3"/>
        <v>vis</v>
      </c>
      <c r="E23" s="41">
        <f>VLOOKUP(C23,Active!C$21:E$973,3,FALSE)</f>
        <v>10888.172405298668</v>
      </c>
      <c r="F23" s="4" t="s">
        <v>51</v>
      </c>
      <c r="G23" s="10" t="str">
        <f t="shared" si="4"/>
        <v>54384.3026</v>
      </c>
      <c r="H23" s="33">
        <f t="shared" si="5"/>
        <v>10888.5</v>
      </c>
      <c r="I23" s="42" t="s">
        <v>101</v>
      </c>
      <c r="J23" s="43" t="s">
        <v>102</v>
      </c>
      <c r="K23" s="42" t="s">
        <v>103</v>
      </c>
      <c r="L23" s="42" t="s">
        <v>104</v>
      </c>
      <c r="M23" s="43" t="s">
        <v>97</v>
      </c>
      <c r="N23" s="43" t="s">
        <v>98</v>
      </c>
      <c r="O23" s="44" t="s">
        <v>105</v>
      </c>
      <c r="P23" s="45" t="s">
        <v>106</v>
      </c>
    </row>
    <row r="24" spans="1:16" ht="12.75" customHeight="1" thickBot="1" x14ac:dyDescent="0.25">
      <c r="A24" s="33" t="str">
        <f t="shared" si="0"/>
        <v>BAVM 225 </v>
      </c>
      <c r="B24" s="4" t="str">
        <f t="shared" si="1"/>
        <v>II</v>
      </c>
      <c r="C24" s="33">
        <f t="shared" si="2"/>
        <v>55874.311699999998</v>
      </c>
      <c r="D24" s="10" t="str">
        <f t="shared" si="3"/>
        <v>vis</v>
      </c>
      <c r="E24" s="41">
        <f>VLOOKUP(C24,Active!C$21:E$973,3,FALSE)</f>
        <v>11480.183522325438</v>
      </c>
      <c r="F24" s="4" t="s">
        <v>51</v>
      </c>
      <c r="G24" s="10" t="str">
        <f t="shared" si="4"/>
        <v>55874.3117</v>
      </c>
      <c r="H24" s="33">
        <f t="shared" si="5"/>
        <v>11480.5</v>
      </c>
      <c r="I24" s="42" t="s">
        <v>107</v>
      </c>
      <c r="J24" s="43" t="s">
        <v>108</v>
      </c>
      <c r="K24" s="42" t="s">
        <v>109</v>
      </c>
      <c r="L24" s="42" t="s">
        <v>110</v>
      </c>
      <c r="M24" s="43" t="s">
        <v>97</v>
      </c>
      <c r="N24" s="43" t="s">
        <v>111</v>
      </c>
      <c r="O24" s="44" t="s">
        <v>112</v>
      </c>
      <c r="P24" s="45" t="s">
        <v>113</v>
      </c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</sheetData>
  <phoneticPr fontId="7" type="noConversion"/>
  <hyperlinks>
    <hyperlink ref="P13" r:id="rId1" display="http://www.bav-astro.de/sfs/BAVM_link.php?BAVMnr=178"/>
    <hyperlink ref="P23" r:id="rId2" display="http://www.bav-astro.de/sfs/BAVM_link.php?BAVMnr=193"/>
    <hyperlink ref="P24" r:id="rId3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2024-01-23T02:53:20Z</dcterms:modified>
</cp:coreProperties>
</file>