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BB4AF1-329C-44B8-BCCD-79D581C147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1" i="1" l="1"/>
  <c r="Q52" i="1"/>
  <c r="Q53" i="1"/>
  <c r="Q54" i="1"/>
  <c r="D9" i="1"/>
  <c r="C9" i="1"/>
  <c r="Q21" i="1"/>
  <c r="Q23" i="1"/>
  <c r="Q24" i="1"/>
  <c r="Q25" i="1"/>
  <c r="Q26" i="1"/>
  <c r="Q27" i="1"/>
  <c r="Q28" i="1"/>
  <c r="Q29" i="1"/>
  <c r="Q31" i="1"/>
  <c r="Q32" i="1"/>
  <c r="Q33" i="1"/>
  <c r="Q34" i="1"/>
  <c r="Q41" i="1"/>
  <c r="Q42" i="1"/>
  <c r="Q43" i="1"/>
  <c r="Q44" i="1"/>
  <c r="Q46" i="1"/>
  <c r="Q47" i="1"/>
  <c r="Q48" i="1"/>
  <c r="Q49" i="1"/>
  <c r="G15" i="2"/>
  <c r="C15" i="2"/>
  <c r="G35" i="2"/>
  <c r="C35" i="2"/>
  <c r="G34" i="2"/>
  <c r="C34" i="2"/>
  <c r="E34" i="2"/>
  <c r="G33" i="2"/>
  <c r="C33" i="2"/>
  <c r="G32" i="2"/>
  <c r="C32" i="2"/>
  <c r="G14" i="2"/>
  <c r="C14" i="2"/>
  <c r="G31" i="2"/>
  <c r="C31" i="2"/>
  <c r="G30" i="2"/>
  <c r="C30" i="2"/>
  <c r="G29" i="2"/>
  <c r="C29" i="2"/>
  <c r="G28" i="2"/>
  <c r="C28" i="2"/>
  <c r="G13" i="2"/>
  <c r="C13" i="2"/>
  <c r="G27" i="2"/>
  <c r="C27" i="2"/>
  <c r="G26" i="2"/>
  <c r="C26" i="2"/>
  <c r="E26" i="2"/>
  <c r="G25" i="2"/>
  <c r="C25" i="2"/>
  <c r="G24" i="2"/>
  <c r="C24" i="2"/>
  <c r="G12" i="2"/>
  <c r="C12" i="2"/>
  <c r="G11" i="2"/>
  <c r="C11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H15" i="2"/>
  <c r="B15" i="2"/>
  <c r="D15" i="2"/>
  <c r="A15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14" i="2"/>
  <c r="B14" i="2"/>
  <c r="D14" i="2"/>
  <c r="A14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3" i="2"/>
  <c r="B13" i="2"/>
  <c r="D13" i="2"/>
  <c r="A13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12" i="2"/>
  <c r="B12" i="2"/>
  <c r="D12" i="2"/>
  <c r="A12" i="2"/>
  <c r="H11" i="2"/>
  <c r="B11" i="2"/>
  <c r="D11" i="2"/>
  <c r="A11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Q50" i="1"/>
  <c r="F16" i="1"/>
  <c r="F17" i="1" s="1"/>
  <c r="C17" i="1"/>
  <c r="Q30" i="1"/>
  <c r="Q35" i="1"/>
  <c r="Q36" i="1"/>
  <c r="Q37" i="1"/>
  <c r="Q38" i="1"/>
  <c r="Q39" i="1"/>
  <c r="Q40" i="1"/>
  <c r="Q45" i="1"/>
  <c r="C7" i="1"/>
  <c r="E51" i="1"/>
  <c r="F51" i="1"/>
  <c r="C8" i="1"/>
  <c r="Q22" i="1"/>
  <c r="E37" i="1"/>
  <c r="F37" i="1"/>
  <c r="E48" i="1"/>
  <c r="F48" i="1"/>
  <c r="E33" i="1"/>
  <c r="F33" i="1"/>
  <c r="E27" i="2"/>
  <c r="E33" i="2"/>
  <c r="E20" i="2"/>
  <c r="E11" i="2"/>
  <c r="E29" i="2"/>
  <c r="E31" i="2"/>
  <c r="E25" i="1"/>
  <c r="F25" i="1"/>
  <c r="E34" i="1"/>
  <c r="F34" i="1"/>
  <c r="E49" i="1"/>
  <c r="F49" i="1"/>
  <c r="E38" i="1"/>
  <c r="F38" i="1"/>
  <c r="E26" i="1"/>
  <c r="F26" i="1"/>
  <c r="G26" i="1"/>
  <c r="I26" i="1"/>
  <c r="E41" i="1"/>
  <c r="F41" i="1"/>
  <c r="G41" i="1"/>
  <c r="I41" i="1"/>
  <c r="E35" i="1"/>
  <c r="F35" i="1"/>
  <c r="G35" i="1"/>
  <c r="I35" i="1"/>
  <c r="E21" i="1"/>
  <c r="F21" i="1"/>
  <c r="G21" i="1"/>
  <c r="E27" i="1"/>
  <c r="F27" i="1"/>
  <c r="G27" i="1"/>
  <c r="I27" i="1"/>
  <c r="E42" i="1"/>
  <c r="F42" i="1"/>
  <c r="E36" i="1"/>
  <c r="F36" i="1"/>
  <c r="G36" i="1"/>
  <c r="I36" i="1"/>
  <c r="E54" i="1"/>
  <c r="F54" i="1"/>
  <c r="G42" i="1"/>
  <c r="I42" i="1"/>
  <c r="G30" i="1"/>
  <c r="I30" i="1"/>
  <c r="G37" i="1"/>
  <c r="I37" i="1"/>
  <c r="G32" i="1"/>
  <c r="I32" i="1"/>
  <c r="G38" i="1"/>
  <c r="I38" i="1"/>
  <c r="E52" i="1"/>
  <c r="F52" i="1"/>
  <c r="G52" i="1"/>
  <c r="I52" i="1"/>
  <c r="E24" i="1"/>
  <c r="F24" i="1"/>
  <c r="G24" i="1"/>
  <c r="I24" i="1"/>
  <c r="E30" i="1"/>
  <c r="F30" i="1"/>
  <c r="E50" i="1"/>
  <c r="F50" i="1"/>
  <c r="G50" i="1"/>
  <c r="I50" i="1"/>
  <c r="E31" i="1"/>
  <c r="F31" i="1"/>
  <c r="G31" i="1"/>
  <c r="I31" i="1"/>
  <c r="E46" i="1"/>
  <c r="F46" i="1"/>
  <c r="G46" i="1"/>
  <c r="I46" i="1"/>
  <c r="E23" i="1"/>
  <c r="F23" i="1"/>
  <c r="G23" i="1"/>
  <c r="I23" i="1"/>
  <c r="E32" i="1"/>
  <c r="F32" i="1"/>
  <c r="E47" i="1"/>
  <c r="F47" i="1"/>
  <c r="G47" i="1"/>
  <c r="I47" i="1"/>
  <c r="E22" i="1"/>
  <c r="F22" i="1"/>
  <c r="G22" i="1"/>
  <c r="I22" i="1"/>
  <c r="E53" i="1"/>
  <c r="F53" i="1"/>
  <c r="G53" i="1"/>
  <c r="I53" i="1"/>
  <c r="G51" i="1"/>
  <c r="I51" i="1"/>
  <c r="E45" i="1"/>
  <c r="F45" i="1"/>
  <c r="G45" i="1"/>
  <c r="I45" i="1"/>
  <c r="E29" i="1"/>
  <c r="F29" i="1"/>
  <c r="G29" i="1"/>
  <c r="I29" i="1"/>
  <c r="E44" i="1"/>
  <c r="F44" i="1"/>
  <c r="G44" i="1"/>
  <c r="I44" i="1"/>
  <c r="G33" i="1"/>
  <c r="I33" i="1"/>
  <c r="G48" i="1"/>
  <c r="I48" i="1"/>
  <c r="E39" i="1"/>
  <c r="F39" i="1"/>
  <c r="G39" i="1"/>
  <c r="I39" i="1"/>
  <c r="G25" i="1"/>
  <c r="I25" i="1"/>
  <c r="G34" i="1"/>
  <c r="I34" i="1"/>
  <c r="G49" i="1"/>
  <c r="I49" i="1"/>
  <c r="E40" i="1"/>
  <c r="F40" i="1"/>
  <c r="G40" i="1"/>
  <c r="I40" i="1"/>
  <c r="G54" i="1"/>
  <c r="I54" i="1"/>
  <c r="E28" i="1"/>
  <c r="F28" i="1"/>
  <c r="G28" i="1"/>
  <c r="I28" i="1"/>
  <c r="E43" i="1"/>
  <c r="F43" i="1"/>
  <c r="G43" i="1"/>
  <c r="I43" i="1"/>
  <c r="E22" i="2"/>
  <c r="E24" i="2"/>
  <c r="E16" i="2"/>
  <c r="I21" i="1"/>
  <c r="E18" i="2"/>
  <c r="E21" i="2"/>
  <c r="E30" i="2"/>
  <c r="E35" i="2"/>
  <c r="E32" i="2"/>
  <c r="E12" i="2"/>
  <c r="E28" i="2"/>
  <c r="E14" i="2"/>
  <c r="E17" i="2"/>
  <c r="E23" i="2"/>
  <c r="E25" i="2"/>
  <c r="E15" i="2"/>
  <c r="E13" i="2"/>
  <c r="E19" i="2"/>
  <c r="C12" i="1"/>
  <c r="C11" i="1"/>
  <c r="O52" i="1" l="1"/>
  <c r="O29" i="1"/>
  <c r="O48" i="1"/>
  <c r="O50" i="1"/>
  <c r="O46" i="1"/>
  <c r="O37" i="1"/>
  <c r="O35" i="1"/>
  <c r="O28" i="1"/>
  <c r="O31" i="1"/>
  <c r="O51" i="1"/>
  <c r="O44" i="1"/>
  <c r="O36" i="1"/>
  <c r="O43" i="1"/>
  <c r="O25" i="1"/>
  <c r="O26" i="1"/>
  <c r="O54" i="1"/>
  <c r="O22" i="1"/>
  <c r="O30" i="1"/>
  <c r="O40" i="1"/>
  <c r="O39" i="1"/>
  <c r="O23" i="1"/>
  <c r="O34" i="1"/>
  <c r="O38" i="1"/>
  <c r="O45" i="1"/>
  <c r="C15" i="1"/>
  <c r="O21" i="1"/>
  <c r="O47" i="1"/>
  <c r="O27" i="1"/>
  <c r="O49" i="1"/>
  <c r="O32" i="1"/>
  <c r="O24" i="1"/>
  <c r="O33" i="1"/>
  <c r="O41" i="1"/>
  <c r="O53" i="1"/>
  <c r="O4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<sst xmlns="http://schemas.openxmlformats.org/spreadsheetml/2006/main" count="336" uniqueCount="175">
  <si>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</si>
  <si>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</si>
  <si>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</si>
  <si>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</si>
  <si>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</si>
  <si>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</si>
  <si>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</si>
  <si>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</si>
  <si>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</si>
  <si>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</si>
  <si>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</si>
  <si>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</si>
  <si>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</si>
  <si>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</si>
  <si>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</si>
  <si>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</si>
  <si>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</si>
  <si>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</si>
  <si>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</si>
  <si>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</si>
  <si>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</si>
  <si>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</si>
  <si>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</si>
  <si>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</si>
  <si>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</si>
  <si>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</si>
  <si>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</si>
  <si>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</si>
  <si>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Peter H</t>
  </si>
  <si>
    <t>BBSAG Bull.22</t>
  </si>
  <si>
    <t>B</t>
  </si>
  <si>
    <t>v</t>
  </si>
  <si>
    <t>MVS 9,80</t>
  </si>
  <si>
    <t>K</t>
  </si>
  <si>
    <t>pg</t>
  </si>
  <si>
    <t>GAAB 92,5</t>
  </si>
  <si>
    <t>JAAVSO 21,129</t>
  </si>
  <si>
    <t>ccd</t>
  </si>
  <si>
    <t>Paschke A</t>
  </si>
  <si>
    <t>BBSAG Bull.118</t>
  </si>
  <si>
    <t>EE Cep / GSC 3973-0715</t>
  </si>
  <si>
    <t>EA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</si>
  <si>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</si>
  <si>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</si>
  <si>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</si>
  <si>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</si>
  <si>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</si>
  <si>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</si>
  <si>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# of data points:</t>
  </si>
  <si>
    <t>Next ToM</t>
  </si>
  <si>
    <t>Start of linear fit &gt;&gt;&gt;&gt;&gt;&gt;&gt;&gt;&gt;&gt;&gt;&gt;&gt;&gt;&gt;&gt;&gt;&gt;&gt;&gt;&gt;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</si>
  <si>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</si>
  <si>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</si>
  <si>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</si>
  <si>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</si>
  <si>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</si>
  <si>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</si>
  <si>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</si>
  <si>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</si>
  <si>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</si>
  <si>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</si>
  <si>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</si>
  <si>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</si>
  <si>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2434345.0 </t>
  </si>
  <si>
    <t> 28.11.1952 12:00 </t>
  </si>
  <si>
    <t> -1 </t>
  </si>
  <si>
    <t>P </t>
  </si>
  <si>
    <t> G.Romano </t>
  </si>
  <si>
    <t> MSAI 48.96 </t>
  </si>
  <si>
    <t>2436397.0 </t>
  </si>
  <si>
    <t> 12.07.1958 12:00 </t>
  </si>
  <si>
    <t>  1 </t>
  </si>
  <si>
    <t> MSAI 37.261 </t>
  </si>
  <si>
    <t>2436401.0 </t>
  </si>
  <si>
    <t> 16.07.1958 12:00 </t>
  </si>
  <si>
    <t>  5 </t>
  </si>
  <si>
    <t>2438440.0 </t>
  </si>
  <si>
    <t> 14.02.1964 12:00 </t>
  </si>
  <si>
    <t> -5 </t>
  </si>
  <si>
    <t> L.Meinunger </t>
  </si>
  <si>
    <t>2440492.0 </t>
  </si>
  <si>
    <t> 27.09.1969 12:00 </t>
  </si>
  <si>
    <t> -3 </t>
  </si>
  <si>
    <t>2440493.0 </t>
  </si>
  <si>
    <t> 28.09.1969 12:00 </t>
  </si>
  <si>
    <t> -2 </t>
  </si>
  <si>
    <t> Baldinelli et al. </t>
  </si>
  <si>
    <t>IBVS 1009 </t>
  </si>
  <si>
    <t>2442543.6 </t>
  </si>
  <si>
    <t> 11.05.1975 02:24 </t>
  </si>
  <si>
    <t> -0.5 </t>
  </si>
  <si>
    <t>V </t>
  </si>
  <si>
    <t> H.Peter [Lichtk.] </t>
  </si>
  <si>
    <t> MVS 7.99 </t>
  </si>
  <si>
    <t>2442543.7 </t>
  </si>
  <si>
    <t> 11.05.1975 04:48 </t>
  </si>
  <si>
    <t> -0.4 </t>
  </si>
  <si>
    <t> K.Locher [Lichtk.] </t>
  </si>
  <si>
    <t>2442544.0 </t>
  </si>
  <si>
    <t> 11.05.1975 12:00 </t>
  </si>
  <si>
    <t> -0 </t>
  </si>
  <si>
    <t> Baldinelli&amp;Ghedini </t>
  </si>
  <si>
    <t>E </t>
  </si>
  <si>
    <t>?</t>
  </si>
  <si>
    <t> G.V.Zaitseva </t>
  </si>
  <si>
    <t> AC 878 </t>
  </si>
  <si>
    <t>2442544.1 </t>
  </si>
  <si>
    <t> 11.05.1975 14:24 </t>
  </si>
  <si>
    <t> -0.0 </t>
  </si>
  <si>
    <t> MVS 7.97 </t>
  </si>
  <si>
    <t>2444591.8 </t>
  </si>
  <si>
    <t> 18.12.1980 07:12 </t>
  </si>
  <si>
    <t> -1.9 </t>
  </si>
  <si>
    <t> Meinunger &amp; Pfau </t>
  </si>
  <si>
    <t> MVS 9.40 </t>
  </si>
  <si>
    <t>2444593.0 </t>
  </si>
  <si>
    <t> 19.12.1980 12:00 </t>
  </si>
  <si>
    <t> E.Zische </t>
  </si>
  <si>
    <t> MVS 9.80 </t>
  </si>
  <si>
    <t>2444594.1 </t>
  </si>
  <si>
    <t> 20.12.1980 14:24 </t>
  </si>
  <si>
    <t> 0.4 </t>
  </si>
  <si>
    <t>IBVS 1939 </t>
  </si>
  <si>
    <t>2444599.0 </t>
  </si>
  <si>
    <t> 25.12.1980 12:00 </t>
  </si>
  <si>
    <t> H.Blasberg </t>
  </si>
  <si>
    <t>2450743.85 </t>
  </si>
  <si>
    <t> 22.10.1997 08:24 </t>
  </si>
  <si>
    <t> 1.61 </t>
  </si>
  <si>
    <t> G.Samolyk </t>
  </si>
  <si>
    <t> AVSJ 27.35 </t>
  </si>
  <si>
    <t>2450743.92 </t>
  </si>
  <si>
    <t> 22.10.1997 10:04 </t>
  </si>
  <si>
    <t> 1.68 </t>
  </si>
  <si>
    <t>G</t>
  </si>
  <si>
    <t> Cook </t>
  </si>
  <si>
    <t>2450744.00 </t>
  </si>
  <si>
    <t> 22.10.1997 12:00 </t>
  </si>
  <si>
    <t> 1.76 </t>
  </si>
  <si>
    <t> Berg </t>
  </si>
  <si>
    <t>2450744.2 </t>
  </si>
  <si>
    <t> 22.10.1997 16:48 </t>
  </si>
  <si>
    <t> 2.0 </t>
  </si>
  <si>
    <t> Mikolajewski &amp; Gra </t>
  </si>
  <si>
    <t> MN 303.521 </t>
  </si>
  <si>
    <t>2450744.8 </t>
  </si>
  <si>
    <t> 23.10.1997 07:12 </t>
  </si>
  <si>
    <t> 2.6 </t>
  </si>
  <si>
    <t> A.Paschke </t>
  </si>
  <si>
    <t> BBS 118 </t>
  </si>
  <si>
    <t>2452795.0 </t>
  </si>
  <si>
    <t> 04.06.2003 12:00 </t>
  </si>
  <si>
    <t> 3.2 </t>
  </si>
  <si>
    <t> K.Locher </t>
  </si>
  <si>
    <t> BBS 129 </t>
  </si>
  <si>
    <t>2454842.20 </t>
  </si>
  <si>
    <t> 10.01.2009 16:48 </t>
  </si>
  <si>
    <t> 0.90 </t>
  </si>
  <si>
    <t>C </t>
  </si>
  <si>
    <t> S.Kiyota </t>
  </si>
  <si>
    <t>VSB 50 </t>
  </si>
  <si>
    <t>2454842.37 </t>
  </si>
  <si>
    <t> 10.01.2009 20:52 </t>
  </si>
  <si>
    <t> 1.07 </t>
  </si>
  <si>
    <t>2454842.67 </t>
  </si>
  <si>
    <t> 11.01.2009 04:04 </t>
  </si>
  <si>
    <t> 1.37 </t>
  </si>
  <si>
    <t>Ic</t>
  </si>
  <si>
    <t>2456893.8764 </t>
  </si>
  <si>
    <t> 24.08.2014 09:02 </t>
  </si>
  <si>
    <t> 3.0464 </t>
  </si>
  <si>
    <t> H.Braunwarth </t>
  </si>
  <si>
    <t>BAVM 239 </t>
  </si>
  <si>
    <t>I</t>
  </si>
  <si>
    <t>JAVSO..43..238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</si>
</sst>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8" fillId="0" borderId="0" xfId="0" applyFont="1" applyAlignment="1"/>
    <xf numFmtId="14" fontId="18" fillId="0" borderId="0" xfId="0" applyNumberFormat="1" applyFont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Cep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6212729424322"/>
          <c:y val="0.14769252958613219"/>
          <c:w val="0.811984290241124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2-4B65-9370-7422CAE180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</c:v>
                </c:pt>
                <c:pt idx="1">
                  <c:v>0</c:v>
                </c:pt>
                <c:pt idx="2">
                  <c:v>1.4700000000011642</c:v>
                </c:pt>
                <c:pt idx="3">
                  <c:v>5.4700000000011642</c:v>
                </c:pt>
                <c:pt idx="4">
                  <c:v>-5.0599999999976717</c:v>
                </c:pt>
                <c:pt idx="5">
                  <c:v>-2.5899999999965075</c:v>
                </c:pt>
                <c:pt idx="6">
                  <c:v>-1.5899999999965075</c:v>
                </c:pt>
                <c:pt idx="7">
                  <c:v>-0.52000000000407454</c:v>
                </c:pt>
                <c:pt idx="8">
                  <c:v>-0.42000000000552973</c:v>
                </c:pt>
                <c:pt idx="9">
                  <c:v>-0.12000000000261934</c:v>
                </c:pt>
                <c:pt idx="10">
                  <c:v>-2.0000000004074536E-2</c:v>
                </c:pt>
                <c:pt idx="11">
                  <c:v>-1.8499999999985448</c:v>
                </c:pt>
                <c:pt idx="12">
                  <c:v>-0.65000000000145519</c:v>
                </c:pt>
                <c:pt idx="13">
                  <c:v>0.44999999999708962</c:v>
                </c:pt>
                <c:pt idx="14">
                  <c:v>5.3499999999985448</c:v>
                </c:pt>
                <c:pt idx="15">
                  <c:v>1.9999999996798579E-2</c:v>
                </c:pt>
                <c:pt idx="16">
                  <c:v>-1.7099999999991269</c:v>
                </c:pt>
                <c:pt idx="17">
                  <c:v>-1.7099999999991269</c:v>
                </c:pt>
                <c:pt idx="18">
                  <c:v>-0.20999999999912689</c:v>
                </c:pt>
                <c:pt idx="19">
                  <c:v>0.27999999999883585</c:v>
                </c:pt>
                <c:pt idx="20">
                  <c:v>1.6099999999933061</c:v>
                </c:pt>
                <c:pt idx="21">
                  <c:v>1.6799999999930151</c:v>
                </c:pt>
                <c:pt idx="22">
                  <c:v>1.7599999999947613</c:v>
                </c:pt>
                <c:pt idx="23">
                  <c:v>1.9599999999918509</c:v>
                </c:pt>
                <c:pt idx="24">
                  <c:v>2.5599999999976717</c:v>
                </c:pt>
                <c:pt idx="25">
                  <c:v>3.2299999999959255</c:v>
                </c:pt>
                <c:pt idx="26">
                  <c:v>0.89999999999417923</c:v>
                </c:pt>
                <c:pt idx="27">
                  <c:v>1.069999999999709</c:v>
                </c:pt>
                <c:pt idx="28">
                  <c:v>1.3699999999953434</c:v>
                </c:pt>
                <c:pt idx="29">
                  <c:v>3.0463999999992666</c:v>
                </c:pt>
                <c:pt idx="30">
                  <c:v>3.1299999999973807</c:v>
                </c:pt>
                <c:pt idx="31">
                  <c:v>3.2200000000011642</c:v>
                </c:pt>
                <c:pt idx="32">
                  <c:v>3.4899999999979627</c:v>
                </c:pt>
                <c:pt idx="33">
                  <c:v>3.5099999999947613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22-4B65-9370-7422CAE180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22-4B65-9370-7422CAE180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22-4B65-9370-7422CAE180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22-4B65-9370-7422CAE180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22-4B65-9370-7422CAE180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0.5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7.0000000000000007E-2</c:v>
                  </c:pt>
                  <c:pt idx="30">
                    <c:v>0.03</c:v>
                  </c:pt>
                  <c:pt idx="31">
                    <c:v>0.04</c:v>
                  </c:pt>
                  <c:pt idx="32">
                    <c:v>0.03</c:v>
                  </c:pt>
                  <c:pt idx="33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22-4B65-9370-7422CAE180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-1.0904096213526695</c:v>
                </c:pt>
                <c:pt idx="1">
                  <c:v>-1.0904096213526695</c:v>
                </c:pt>
                <c:pt idx="2">
                  <c:v>-0.78573519553058402</c:v>
                </c:pt>
                <c:pt idx="3">
                  <c:v>-0.78573519553058402</c:v>
                </c:pt>
                <c:pt idx="4">
                  <c:v>-0.48106076970849854</c:v>
                </c:pt>
                <c:pt idx="5">
                  <c:v>-0.17638634388641306</c:v>
                </c:pt>
                <c:pt idx="6">
                  <c:v>-0.17638634388641306</c:v>
                </c:pt>
                <c:pt idx="7">
                  <c:v>0.12828808193567243</c:v>
                </c:pt>
                <c:pt idx="8">
                  <c:v>0.12828808193567243</c:v>
                </c:pt>
                <c:pt idx="9">
                  <c:v>0.12828808193567243</c:v>
                </c:pt>
                <c:pt idx="10">
                  <c:v>0.12828808193567243</c:v>
                </c:pt>
                <c:pt idx="11">
                  <c:v>0.43296250775775791</c:v>
                </c:pt>
                <c:pt idx="12">
                  <c:v>0.43296250775775791</c:v>
                </c:pt>
                <c:pt idx="13">
                  <c:v>0.43296250775775791</c:v>
                </c:pt>
                <c:pt idx="14">
                  <c:v>0.43296250775775791</c:v>
                </c:pt>
                <c:pt idx="15">
                  <c:v>0.73763693357984339</c:v>
                </c:pt>
                <c:pt idx="16">
                  <c:v>1.0423113594019289</c:v>
                </c:pt>
                <c:pt idx="17">
                  <c:v>1.0423113594019289</c:v>
                </c:pt>
                <c:pt idx="18">
                  <c:v>1.0423113594019289</c:v>
                </c:pt>
                <c:pt idx="19">
                  <c:v>1.0423113594019289</c:v>
                </c:pt>
                <c:pt idx="20">
                  <c:v>1.3469857852240144</c:v>
                </c:pt>
                <c:pt idx="21">
                  <c:v>1.3469857852240144</c:v>
                </c:pt>
                <c:pt idx="22">
                  <c:v>1.3469857852240144</c:v>
                </c:pt>
                <c:pt idx="23">
                  <c:v>1.3469857852240144</c:v>
                </c:pt>
                <c:pt idx="24">
                  <c:v>1.3469857852240144</c:v>
                </c:pt>
                <c:pt idx="25">
                  <c:v>1.6516602110460998</c:v>
                </c:pt>
                <c:pt idx="26">
                  <c:v>1.9563346368681853</c:v>
                </c:pt>
                <c:pt idx="27">
                  <c:v>1.9563346368681853</c:v>
                </c:pt>
                <c:pt idx="28">
                  <c:v>1.9563346368681853</c:v>
                </c:pt>
                <c:pt idx="29">
                  <c:v>2.2610090626902708</c:v>
                </c:pt>
                <c:pt idx="30">
                  <c:v>2.2610090626902708</c:v>
                </c:pt>
                <c:pt idx="31">
                  <c:v>2.2610090626902708</c:v>
                </c:pt>
                <c:pt idx="32">
                  <c:v>2.2610090626902708</c:v>
                </c:pt>
                <c:pt idx="33">
                  <c:v>2.2610090626902708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22-4B65-9370-7422CAE18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42248"/>
        <c:axId val="1"/>
      </c:scatterChart>
      <c:valAx>
        <c:axId val="65144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4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76881195635669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619125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634172E-CABA-B8DE-B472-E11EF9E60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konkoly.hu/cgi-bin/IBVS?1939" TargetMode="External"/><Relationship Id="rId1" Type="http://schemas.openxmlformats.org/officeDocument/2006/relationships/hyperlink" Target="http://www.konkoly.hu/cgi-bin/IBVS?1009" TargetMode="External"/><Relationship Id="rId6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10" t="s">
        <v>41</v>
      </c>
    </row>
    <row r="4" spans="1:6" ht="14.25" thickTop="1" thickBot="1">
      <c r="A4" s="7" t="s">
        <v>0</v>
      </c>
      <c r="C4" s="3">
        <v>34346</v>
      </c>
      <c r="D4" s="4">
        <v>2049.5300000000002</v>
      </c>
    </row>
    <row r="5" spans="1:6" ht="13.5" thickTop="1">
      <c r="A5" s="11" t="s">
        <v>42</v>
      </c>
      <c r="B5" s="12"/>
      <c r="C5" s="13">
        <v>-9.5</v>
      </c>
      <c r="D5" s="12" t="s">
        <v>43</v>
      </c>
    </row>
    <row r="6" spans="1:6">
      <c r="A6" s="7" t="s">
        <v>1</v>
      </c>
    </row>
    <row r="7" spans="1:6">
      <c r="A7" t="s">
        <v>2</v>
      </c>
      <c r="C7">
        <f>+C4</f>
        <v>34346</v>
      </c>
    </row>
    <row r="8" spans="1:6">
      <c r="A8" t="s">
        <v>3</v>
      </c>
      <c r="C8">
        <f>+D4</f>
        <v>2049.5300000000002</v>
      </c>
    </row>
    <row r="9" spans="1:6">
      <c r="A9" s="26" t="s">
        <v>50</v>
      </c>
      <c r="B9" s="27">
        <v>21</v>
      </c>
      <c r="C9" s="15" t="str">
        <f>"F"&amp;B9</f>
        <v>F21</v>
      </c>
      <c r="D9" s="16" t="str">
        <f>"G"&amp;B9</f>
        <v>G21</v>
      </c>
    </row>
    <row r="10" spans="1:6" ht="13.5" thickBot="1">
      <c r="A10" s="12"/>
      <c r="B10" s="12"/>
      <c r="C10" s="6" t="s">
        <v>20</v>
      </c>
      <c r="D10" s="6" t="s">
        <v>21</v>
      </c>
      <c r="E10" s="12"/>
    </row>
    <row r="11" spans="1:6">
      <c r="A11" s="12" t="s">
        <v>16</v>
      </c>
      <c r="B11" s="12"/>
      <c r="C11" s="14">
        <f ca="1">INTERCEPT(INDIRECT($D$9):G992,INDIRECT($C$9):F992)</f>
        <v>-1.0904096213526695</v>
      </c>
      <c r="D11" s="5"/>
      <c r="E11" s="12"/>
    </row>
    <row r="12" spans="1:6">
      <c r="A12" s="12" t="s">
        <v>17</v>
      </c>
      <c r="B12" s="12"/>
      <c r="C12" s="14">
        <f ca="1">SLOPE(INDIRECT($D$9):G992,INDIRECT($C$9):F992)</f>
        <v>0.30467442582208548</v>
      </c>
      <c r="D12" s="5"/>
      <c r="E12" s="12"/>
    </row>
    <row r="13" spans="1:6">
      <c r="A13" s="12" t="s">
        <v>19</v>
      </c>
      <c r="B13" s="12"/>
      <c r="C13" s="5" t="s">
        <v>14</v>
      </c>
    </row>
    <row r="14" spans="1:6">
      <c r="A14" s="12"/>
      <c r="B14" s="12"/>
      <c r="C14" s="12"/>
    </row>
    <row r="15" spans="1:6">
      <c r="A15" s="19" t="s">
        <v>18</v>
      </c>
      <c r="B15" s="12"/>
      <c r="C15" s="20">
        <f ca="1">(C7+C11)+(C8+C12)*INT(MAX(F21:F3533))</f>
        <v>56893.091009062686</v>
      </c>
      <c r="E15" s="17" t="s">
        <v>44</v>
      </c>
      <c r="F15" s="13">
        <v>1</v>
      </c>
    </row>
    <row r="16" spans="1:6">
      <c r="A16" s="21" t="s">
        <v>4</v>
      </c>
      <c r="B16" s="12"/>
      <c r="C16" s="22">
        <f ca="1">+C8+C12</f>
        <v>2049.8346744258224</v>
      </c>
      <c r="E16" s="17" t="s">
        <v>45</v>
      </c>
      <c r="F16" s="18">
        <f ca="1">NOW()+15018.5+$C$5/24</f>
        <v>60332.66457847222</v>
      </c>
    </row>
    <row r="17" spans="1:32" ht="13.5" thickBot="1">
      <c r="A17" s="17" t="s">
        <v>48</v>
      </c>
      <c r="B17" s="12"/>
      <c r="C17" s="12">
        <f>COUNT(C21:C2191)</f>
        <v>34</v>
      </c>
      <c r="E17" s="17" t="s">
        <v>46</v>
      </c>
      <c r="F17" s="18">
        <f ca="1">ROUND(2*(F16-$C$7)/$C$8,0)/2+F15</f>
        <v>13.5</v>
      </c>
    </row>
    <row r="18" spans="1:32" ht="14.25" thickTop="1" thickBot="1">
      <c r="A18" s="21" t="s">
        <v>5</v>
      </c>
      <c r="B18" s="12"/>
      <c r="C18" s="24">
        <f ca="1">+C15</f>
        <v>56893.091009062686</v>
      </c>
      <c r="D18" s="25">
        <f ca="1">+C16</f>
        <v>2049.8346744258224</v>
      </c>
      <c r="E18" s="17" t="s">
        <v>47</v>
      </c>
      <c r="F18" s="16">
        <f ca="1">ROUND(2*(F16-$C$15)/$C$16,0)/2+F15</f>
        <v>2.5</v>
      </c>
    </row>
    <row r="19" spans="1:32" ht="13.5" thickTop="1">
      <c r="E19" s="17" t="s">
        <v>49</v>
      </c>
      <c r="F19" s="23">
        <f ca="1">+$C$15+$C$16*F18-15018.5-$C$5/24</f>
        <v>46999.573528460576</v>
      </c>
    </row>
    <row r="20" spans="1:32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34</v>
      </c>
      <c r="I20" s="9" t="s">
        <v>61</v>
      </c>
      <c r="J20" s="9" t="s">
        <v>56</v>
      </c>
      <c r="K20" s="9" t="s">
        <v>54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2">
      <c r="A21" s="43" t="s">
        <v>68</v>
      </c>
      <c r="B21" s="44" t="s">
        <v>173</v>
      </c>
      <c r="C21" s="43">
        <v>34345</v>
      </c>
      <c r="D21" s="43" t="s">
        <v>61</v>
      </c>
      <c r="E21">
        <f t="shared" ref="E21:E50" si="0">+(C21-C$7)/C$8</f>
        <v>-4.879167418871643E-4</v>
      </c>
      <c r="F21">
        <f t="shared" ref="F21:F54" si="1">ROUND(2*E21,0)/2</f>
        <v>0</v>
      </c>
      <c r="G21">
        <f t="shared" ref="G21:G50" si="2">+C21-(C$7+F21*C$8)</f>
        <v>-1</v>
      </c>
      <c r="I21">
        <f t="shared" ref="I21:I49" si="3">+G21</f>
        <v>-1</v>
      </c>
      <c r="O21">
        <f t="shared" ref="O21:O50" ca="1" si="4">+C$11+C$12*F21</f>
        <v>-1.0904096213526695</v>
      </c>
      <c r="Q21" s="2">
        <f t="shared" ref="Q21:Q50" si="5">+C21-15018.5</f>
        <v>19326.5</v>
      </c>
    </row>
    <row r="22" spans="1:32" ht="12.75" customHeight="1">
      <c r="A22" t="s">
        <v>12</v>
      </c>
      <c r="C22" s="28">
        <v>34346</v>
      </c>
      <c r="D22" s="28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-1.0904096213526695</v>
      </c>
      <c r="Q22" s="2">
        <f t="shared" si="5"/>
        <v>19327.5</v>
      </c>
    </row>
    <row r="23" spans="1:32">
      <c r="A23" s="43" t="s">
        <v>72</v>
      </c>
      <c r="B23" s="44" t="s">
        <v>173</v>
      </c>
      <c r="C23" s="43">
        <v>36397</v>
      </c>
      <c r="D23" s="43" t="s">
        <v>61</v>
      </c>
      <c r="E23">
        <f t="shared" si="0"/>
        <v>1.000717237610574</v>
      </c>
      <c r="F23">
        <f t="shared" si="1"/>
        <v>1</v>
      </c>
      <c r="G23">
        <f t="shared" si="2"/>
        <v>1.4700000000011642</v>
      </c>
      <c r="I23">
        <f t="shared" si="3"/>
        <v>1.4700000000011642</v>
      </c>
      <c r="O23">
        <f t="shared" ca="1" si="4"/>
        <v>-0.78573519553058402</v>
      </c>
      <c r="Q23" s="2">
        <f t="shared" si="5"/>
        <v>21378.5</v>
      </c>
    </row>
    <row r="24" spans="1:32">
      <c r="A24" s="43" t="s">
        <v>72</v>
      </c>
      <c r="B24" s="44" t="s">
        <v>173</v>
      </c>
      <c r="C24" s="43">
        <v>36401</v>
      </c>
      <c r="D24" s="43" t="s">
        <v>61</v>
      </c>
      <c r="E24">
        <f t="shared" si="0"/>
        <v>1.0026689045781227</v>
      </c>
      <c r="F24">
        <f t="shared" si="1"/>
        <v>1</v>
      </c>
      <c r="G24">
        <f t="shared" si="2"/>
        <v>5.4700000000011642</v>
      </c>
      <c r="I24">
        <f t="shared" si="3"/>
        <v>5.4700000000011642</v>
      </c>
      <c r="O24">
        <f t="shared" ca="1" si="4"/>
        <v>-0.78573519553058402</v>
      </c>
      <c r="Q24" s="2">
        <f t="shared" si="5"/>
        <v>21382.5</v>
      </c>
    </row>
    <row r="25" spans="1:32">
      <c r="A25" s="43" t="s">
        <v>68</v>
      </c>
      <c r="B25" s="44" t="s">
        <v>173</v>
      </c>
      <c r="C25" s="43">
        <v>38440</v>
      </c>
      <c r="D25" s="43" t="s">
        <v>61</v>
      </c>
      <c r="E25">
        <f t="shared" si="0"/>
        <v>1.9975311412860508</v>
      </c>
      <c r="F25">
        <f t="shared" si="1"/>
        <v>2</v>
      </c>
      <c r="G25">
        <f t="shared" si="2"/>
        <v>-5.0599999999976717</v>
      </c>
      <c r="I25">
        <f t="shared" si="3"/>
        <v>-5.0599999999976717</v>
      </c>
      <c r="O25">
        <f t="shared" ca="1" si="4"/>
        <v>-0.48106076970849854</v>
      </c>
      <c r="Q25" s="2">
        <f t="shared" si="5"/>
        <v>23421.5</v>
      </c>
    </row>
    <row r="26" spans="1:32">
      <c r="A26" s="43" t="s">
        <v>68</v>
      </c>
      <c r="B26" s="44" t="s">
        <v>173</v>
      </c>
      <c r="C26" s="43">
        <v>40492</v>
      </c>
      <c r="D26" s="43" t="s">
        <v>61</v>
      </c>
      <c r="E26">
        <f t="shared" si="0"/>
        <v>2.998736295638512</v>
      </c>
      <c r="F26">
        <f t="shared" si="1"/>
        <v>3</v>
      </c>
      <c r="G26">
        <f t="shared" si="2"/>
        <v>-2.5899999999965075</v>
      </c>
      <c r="I26">
        <f t="shared" si="3"/>
        <v>-2.5899999999965075</v>
      </c>
      <c r="O26">
        <f t="shared" ca="1" si="4"/>
        <v>-0.17638634388641306</v>
      </c>
      <c r="Q26" s="2">
        <f t="shared" si="5"/>
        <v>25473.5</v>
      </c>
    </row>
    <row r="27" spans="1:32">
      <c r="A27" s="43" t="s">
        <v>87</v>
      </c>
      <c r="B27" s="44" t="s">
        <v>173</v>
      </c>
      <c r="C27" s="43">
        <v>40493</v>
      </c>
      <c r="D27" s="43" t="s">
        <v>61</v>
      </c>
      <c r="E27">
        <f t="shared" si="0"/>
        <v>2.9992242123803989</v>
      </c>
      <c r="F27">
        <f t="shared" si="1"/>
        <v>3</v>
      </c>
      <c r="G27">
        <f t="shared" si="2"/>
        <v>-1.5899999999965075</v>
      </c>
      <c r="I27">
        <f t="shared" si="3"/>
        <v>-1.5899999999965075</v>
      </c>
      <c r="O27">
        <f t="shared" ca="1" si="4"/>
        <v>-0.17638634388641306</v>
      </c>
      <c r="Q27" s="2">
        <f t="shared" si="5"/>
        <v>25474.5</v>
      </c>
    </row>
    <row r="28" spans="1:32">
      <c r="A28" s="43" t="s">
        <v>93</v>
      </c>
      <c r="B28" s="44" t="s">
        <v>173</v>
      </c>
      <c r="C28" s="43">
        <v>42543.6</v>
      </c>
      <c r="D28" s="43" t="s">
        <v>61</v>
      </c>
      <c r="E28">
        <f t="shared" si="0"/>
        <v>3.9997462832942174</v>
      </c>
      <c r="F28">
        <f t="shared" si="1"/>
        <v>4</v>
      </c>
      <c r="G28">
        <f t="shared" si="2"/>
        <v>-0.52000000000407454</v>
      </c>
      <c r="I28">
        <f t="shared" si="3"/>
        <v>-0.52000000000407454</v>
      </c>
      <c r="O28">
        <f t="shared" ca="1" si="4"/>
        <v>0.12828808193567243</v>
      </c>
      <c r="Q28" s="2">
        <f t="shared" si="5"/>
        <v>27525.1</v>
      </c>
    </row>
    <row r="29" spans="1:32">
      <c r="A29" s="43" t="s">
        <v>93</v>
      </c>
      <c r="B29" s="44" t="s">
        <v>173</v>
      </c>
      <c r="C29" s="43">
        <v>42543.7</v>
      </c>
      <c r="D29" s="43" t="s">
        <v>61</v>
      </c>
      <c r="E29">
        <f t="shared" si="0"/>
        <v>3.9997950749684055</v>
      </c>
      <c r="F29">
        <f t="shared" si="1"/>
        <v>4</v>
      </c>
      <c r="G29">
        <f t="shared" si="2"/>
        <v>-0.42000000000552973</v>
      </c>
      <c r="I29">
        <f t="shared" si="3"/>
        <v>-0.42000000000552973</v>
      </c>
      <c r="O29">
        <f t="shared" ca="1" si="4"/>
        <v>0.12828808193567243</v>
      </c>
      <c r="Q29" s="2">
        <f t="shared" si="5"/>
        <v>27525.199999999997</v>
      </c>
    </row>
    <row r="30" spans="1:32" ht="12.75" customHeight="1">
      <c r="A30" t="s">
        <v>29</v>
      </c>
      <c r="C30" s="29">
        <v>42544</v>
      </c>
      <c r="D30" s="28"/>
      <c r="E30">
        <f t="shared" si="0"/>
        <v>3.9999414499909731</v>
      </c>
      <c r="F30">
        <f t="shared" si="1"/>
        <v>4</v>
      </c>
      <c r="G30">
        <f t="shared" si="2"/>
        <v>-0.12000000000261934</v>
      </c>
      <c r="I30">
        <f t="shared" si="3"/>
        <v>-0.12000000000261934</v>
      </c>
      <c r="O30">
        <f t="shared" ca="1" si="4"/>
        <v>0.12828808193567243</v>
      </c>
      <c r="Q30" s="2">
        <f t="shared" si="5"/>
        <v>27525.5</v>
      </c>
      <c r="AB30">
        <v>12</v>
      </c>
      <c r="AD30" t="s">
        <v>28</v>
      </c>
      <c r="AF30" t="s">
        <v>30</v>
      </c>
    </row>
    <row r="31" spans="1:32">
      <c r="A31" s="43" t="s">
        <v>109</v>
      </c>
      <c r="B31" s="44" t="s">
        <v>173</v>
      </c>
      <c r="C31" s="43">
        <v>42544.1</v>
      </c>
      <c r="D31" s="43" t="s">
        <v>61</v>
      </c>
      <c r="E31">
        <f t="shared" si="0"/>
        <v>3.9999902416651612</v>
      </c>
      <c r="F31">
        <f t="shared" si="1"/>
        <v>4</v>
      </c>
      <c r="G31">
        <f t="shared" si="2"/>
        <v>-2.0000000004074536E-2</v>
      </c>
      <c r="I31">
        <f t="shared" si="3"/>
        <v>-2.0000000004074536E-2</v>
      </c>
      <c r="O31">
        <f t="shared" ca="1" si="4"/>
        <v>0.12828808193567243</v>
      </c>
      <c r="Q31" s="2">
        <f t="shared" si="5"/>
        <v>27525.599999999999</v>
      </c>
    </row>
    <row r="32" spans="1:32">
      <c r="A32" s="43" t="s">
        <v>114</v>
      </c>
      <c r="B32" s="44" t="s">
        <v>173</v>
      </c>
      <c r="C32" s="43">
        <v>44591.8</v>
      </c>
      <c r="D32" s="43" t="s">
        <v>61</v>
      </c>
      <c r="E32">
        <f t="shared" si="0"/>
        <v>4.9990973540275094</v>
      </c>
      <c r="F32">
        <f t="shared" si="1"/>
        <v>5</v>
      </c>
      <c r="G32">
        <f t="shared" si="2"/>
        <v>-1.8499999999985448</v>
      </c>
      <c r="I32">
        <f t="shared" si="3"/>
        <v>-1.8499999999985448</v>
      </c>
      <c r="O32">
        <f t="shared" ca="1" si="4"/>
        <v>0.43296250775775791</v>
      </c>
      <c r="Q32" s="2">
        <f t="shared" si="5"/>
        <v>29573.300000000003</v>
      </c>
    </row>
    <row r="33" spans="1:32">
      <c r="A33" s="43" t="s">
        <v>118</v>
      </c>
      <c r="B33" s="44" t="s">
        <v>173</v>
      </c>
      <c r="C33" s="43">
        <v>44593</v>
      </c>
      <c r="D33" s="43" t="s">
        <v>61</v>
      </c>
      <c r="E33">
        <f t="shared" si="0"/>
        <v>4.9996828541177729</v>
      </c>
      <c r="F33">
        <f t="shared" si="1"/>
        <v>5</v>
      </c>
      <c r="G33">
        <f t="shared" si="2"/>
        <v>-0.65000000000145519</v>
      </c>
      <c r="I33">
        <f t="shared" si="3"/>
        <v>-0.65000000000145519</v>
      </c>
      <c r="O33">
        <f t="shared" ca="1" si="4"/>
        <v>0.43296250775775791</v>
      </c>
      <c r="Q33" s="2">
        <f t="shared" si="5"/>
        <v>29574.5</v>
      </c>
    </row>
    <row r="34" spans="1:32">
      <c r="A34" s="43" t="s">
        <v>122</v>
      </c>
      <c r="B34" s="44" t="s">
        <v>173</v>
      </c>
      <c r="C34" s="43">
        <v>44594.1</v>
      </c>
      <c r="D34" s="43" t="s">
        <v>61</v>
      </c>
      <c r="E34">
        <f t="shared" si="0"/>
        <v>5.0002195625338484</v>
      </c>
      <c r="F34">
        <f t="shared" si="1"/>
        <v>5</v>
      </c>
      <c r="G34">
        <f t="shared" si="2"/>
        <v>0.44999999999708962</v>
      </c>
      <c r="I34">
        <f t="shared" si="3"/>
        <v>0.44999999999708962</v>
      </c>
      <c r="O34">
        <f t="shared" ca="1" si="4"/>
        <v>0.43296250775775791</v>
      </c>
      <c r="Q34" s="2">
        <f t="shared" si="5"/>
        <v>29575.599999999999</v>
      </c>
    </row>
    <row r="35" spans="1:32" ht="12.75" customHeight="1">
      <c r="A35" t="s">
        <v>32</v>
      </c>
      <c r="C35" s="29">
        <v>44599</v>
      </c>
      <c r="D35" s="28"/>
      <c r="E35">
        <f t="shared" si="0"/>
        <v>5.0026103545690956</v>
      </c>
      <c r="F35">
        <f t="shared" si="1"/>
        <v>5</v>
      </c>
      <c r="G35">
        <f t="shared" si="2"/>
        <v>5.3499999999985448</v>
      </c>
      <c r="I35">
        <f t="shared" si="3"/>
        <v>5.3499999999985448</v>
      </c>
      <c r="O35">
        <f t="shared" ca="1" si="4"/>
        <v>0.43296250775775791</v>
      </c>
      <c r="Q35" s="2">
        <f t="shared" si="5"/>
        <v>29580.5</v>
      </c>
      <c r="AA35" t="s">
        <v>31</v>
      </c>
      <c r="AF35" t="s">
        <v>33</v>
      </c>
    </row>
    <row r="36" spans="1:32" ht="12.75" customHeight="1">
      <c r="A36" t="s">
        <v>35</v>
      </c>
      <c r="C36" s="29">
        <v>46643.199999999997</v>
      </c>
      <c r="D36" s="28"/>
      <c r="E36">
        <f t="shared" si="0"/>
        <v>6.0000097583348353</v>
      </c>
      <c r="F36">
        <f t="shared" si="1"/>
        <v>6</v>
      </c>
      <c r="G36">
        <f t="shared" si="2"/>
        <v>1.9999999996798579E-2</v>
      </c>
      <c r="I36">
        <f t="shared" si="3"/>
        <v>1.9999999996798579E-2</v>
      </c>
      <c r="O36">
        <f t="shared" ca="1" si="4"/>
        <v>0.73763693357984339</v>
      </c>
      <c r="Q36" s="2">
        <f t="shared" si="5"/>
        <v>31624.699999999997</v>
      </c>
      <c r="AA36" t="s">
        <v>34</v>
      </c>
      <c r="AF36" t="s">
        <v>33</v>
      </c>
    </row>
    <row r="37" spans="1:32" ht="12.75" customHeight="1">
      <c r="A37" t="s">
        <v>36</v>
      </c>
      <c r="C37" s="29">
        <v>48691</v>
      </c>
      <c r="D37" s="28"/>
      <c r="E37">
        <f t="shared" si="0"/>
        <v>6.9991656623713725</v>
      </c>
      <c r="F37">
        <f t="shared" si="1"/>
        <v>7</v>
      </c>
      <c r="G37">
        <f t="shared" si="2"/>
        <v>-1.7099999999991269</v>
      </c>
      <c r="I37">
        <f t="shared" si="3"/>
        <v>-1.7099999999991269</v>
      </c>
      <c r="O37">
        <f t="shared" ca="1" si="4"/>
        <v>1.0423113594019289</v>
      </c>
      <c r="Q37" s="2">
        <f t="shared" si="5"/>
        <v>33672.5</v>
      </c>
      <c r="AA37" t="s">
        <v>31</v>
      </c>
      <c r="AF37" t="s">
        <v>33</v>
      </c>
    </row>
    <row r="38" spans="1:32" ht="12.75" customHeight="1">
      <c r="A38" t="s">
        <v>36</v>
      </c>
      <c r="C38" s="29">
        <v>48691</v>
      </c>
      <c r="D38" s="28"/>
      <c r="E38">
        <f t="shared" si="0"/>
        <v>6.9991656623713725</v>
      </c>
      <c r="F38">
        <f t="shared" si="1"/>
        <v>7</v>
      </c>
      <c r="G38">
        <f t="shared" si="2"/>
        <v>-1.7099999999991269</v>
      </c>
      <c r="I38">
        <f t="shared" si="3"/>
        <v>-1.7099999999991269</v>
      </c>
      <c r="O38">
        <f t="shared" ca="1" si="4"/>
        <v>1.0423113594019289</v>
      </c>
      <c r="Q38" s="2">
        <f t="shared" si="5"/>
        <v>33672.5</v>
      </c>
      <c r="AA38" t="s">
        <v>31</v>
      </c>
      <c r="AF38" t="s">
        <v>33</v>
      </c>
    </row>
    <row r="39" spans="1:32" ht="12.75" customHeight="1">
      <c r="A39" t="s">
        <v>36</v>
      </c>
      <c r="C39" s="29">
        <v>48692.5</v>
      </c>
      <c r="D39" s="28"/>
      <c r="E39">
        <f t="shared" si="0"/>
        <v>6.9998975374842027</v>
      </c>
      <c r="F39">
        <f t="shared" si="1"/>
        <v>7</v>
      </c>
      <c r="G39">
        <f t="shared" si="2"/>
        <v>-0.20999999999912689</v>
      </c>
      <c r="I39">
        <f t="shared" si="3"/>
        <v>-0.20999999999912689</v>
      </c>
      <c r="O39">
        <f t="shared" ca="1" si="4"/>
        <v>1.0423113594019289</v>
      </c>
      <c r="Q39" s="2">
        <f t="shared" si="5"/>
        <v>33674</v>
      </c>
      <c r="AA39" t="s">
        <v>31</v>
      </c>
      <c r="AF39" t="s">
        <v>33</v>
      </c>
    </row>
    <row r="40" spans="1:32" ht="12.75" customHeight="1">
      <c r="A40" t="s">
        <v>36</v>
      </c>
      <c r="C40" s="29">
        <v>48692.99</v>
      </c>
      <c r="D40" s="28"/>
      <c r="E40">
        <f t="shared" si="0"/>
        <v>7.000136616687727</v>
      </c>
      <c r="F40">
        <f t="shared" si="1"/>
        <v>7</v>
      </c>
      <c r="G40">
        <f t="shared" si="2"/>
        <v>0.27999999999883585</v>
      </c>
      <c r="I40">
        <f t="shared" si="3"/>
        <v>0.27999999999883585</v>
      </c>
      <c r="O40">
        <f t="shared" ca="1" si="4"/>
        <v>1.0423113594019289</v>
      </c>
      <c r="Q40" s="2">
        <f t="shared" si="5"/>
        <v>33674.49</v>
      </c>
      <c r="AA40" t="s">
        <v>31</v>
      </c>
      <c r="AF40" t="s">
        <v>33</v>
      </c>
    </row>
    <row r="41" spans="1:32">
      <c r="A41" s="43" t="s">
        <v>130</v>
      </c>
      <c r="B41" s="44" t="s">
        <v>173</v>
      </c>
      <c r="C41" s="43">
        <v>50743.85</v>
      </c>
      <c r="D41" s="43" t="s">
        <v>61</v>
      </c>
      <c r="E41">
        <f t="shared" si="0"/>
        <v>8.0007855459544377</v>
      </c>
      <c r="F41">
        <f t="shared" si="1"/>
        <v>8</v>
      </c>
      <c r="G41">
        <f t="shared" si="2"/>
        <v>1.6099999999933061</v>
      </c>
      <c r="I41">
        <f t="shared" si="3"/>
        <v>1.6099999999933061</v>
      </c>
      <c r="O41">
        <f t="shared" ca="1" si="4"/>
        <v>1.3469857852240144</v>
      </c>
      <c r="Q41" s="2">
        <f t="shared" si="5"/>
        <v>35725.35</v>
      </c>
    </row>
    <row r="42" spans="1:32">
      <c r="A42" s="43" t="s">
        <v>130</v>
      </c>
      <c r="B42" s="44" t="s">
        <v>173</v>
      </c>
      <c r="C42" s="43">
        <v>50743.92</v>
      </c>
      <c r="D42" s="43" t="s">
        <v>61</v>
      </c>
      <c r="E42">
        <f t="shared" si="0"/>
        <v>8.0008197001263692</v>
      </c>
      <c r="F42">
        <f t="shared" si="1"/>
        <v>8</v>
      </c>
      <c r="G42">
        <f t="shared" si="2"/>
        <v>1.6799999999930151</v>
      </c>
      <c r="I42">
        <f t="shared" si="3"/>
        <v>1.6799999999930151</v>
      </c>
      <c r="O42">
        <f t="shared" ca="1" si="4"/>
        <v>1.3469857852240144</v>
      </c>
      <c r="Q42" s="2">
        <f t="shared" si="5"/>
        <v>35725.42</v>
      </c>
    </row>
    <row r="43" spans="1:32">
      <c r="A43" s="43" t="s">
        <v>130</v>
      </c>
      <c r="B43" s="44" t="s">
        <v>173</v>
      </c>
      <c r="C43" s="43">
        <v>50744</v>
      </c>
      <c r="D43" s="43" t="s">
        <v>61</v>
      </c>
      <c r="E43">
        <f t="shared" si="0"/>
        <v>8.0008587334657211</v>
      </c>
      <c r="F43">
        <f t="shared" si="1"/>
        <v>8</v>
      </c>
      <c r="G43">
        <f t="shared" si="2"/>
        <v>1.7599999999947613</v>
      </c>
      <c r="I43">
        <f t="shared" si="3"/>
        <v>1.7599999999947613</v>
      </c>
      <c r="O43">
        <f t="shared" ca="1" si="4"/>
        <v>1.3469857852240144</v>
      </c>
      <c r="Q43" s="2">
        <f t="shared" si="5"/>
        <v>35725.5</v>
      </c>
    </row>
    <row r="44" spans="1:32">
      <c r="A44" s="43" t="s">
        <v>144</v>
      </c>
      <c r="B44" s="44" t="s">
        <v>173</v>
      </c>
      <c r="C44" s="43">
        <v>50744.2</v>
      </c>
      <c r="D44" s="43" t="s">
        <v>61</v>
      </c>
      <c r="E44">
        <f t="shared" si="0"/>
        <v>8.0009563168140971</v>
      </c>
      <c r="F44">
        <f t="shared" si="1"/>
        <v>8</v>
      </c>
      <c r="G44">
        <f t="shared" si="2"/>
        <v>1.9599999999918509</v>
      </c>
      <c r="I44">
        <f t="shared" si="3"/>
        <v>1.9599999999918509</v>
      </c>
      <c r="O44">
        <f t="shared" ca="1" si="4"/>
        <v>1.3469857852240144</v>
      </c>
      <c r="Q44" s="2">
        <f t="shared" si="5"/>
        <v>35725.699999999997</v>
      </c>
    </row>
    <row r="45" spans="1:32" ht="12.75" customHeight="1">
      <c r="A45" t="s">
        <v>39</v>
      </c>
      <c r="C45" s="29">
        <v>50744.800000000003</v>
      </c>
      <c r="D45" s="28">
        <v>0.5</v>
      </c>
      <c r="E45">
        <f t="shared" si="0"/>
        <v>8.0012490668592324</v>
      </c>
      <c r="F45">
        <f t="shared" si="1"/>
        <v>8</v>
      </c>
      <c r="G45">
        <f t="shared" si="2"/>
        <v>2.5599999999976717</v>
      </c>
      <c r="I45">
        <f t="shared" si="3"/>
        <v>2.5599999999976717</v>
      </c>
      <c r="O45">
        <f t="shared" ca="1" si="4"/>
        <v>1.3469857852240144</v>
      </c>
      <c r="Q45" s="2">
        <f t="shared" si="5"/>
        <v>35726.300000000003</v>
      </c>
      <c r="AA45" t="s">
        <v>37</v>
      </c>
      <c r="AB45">
        <v>18</v>
      </c>
      <c r="AD45" t="s">
        <v>38</v>
      </c>
      <c r="AF45" t="s">
        <v>30</v>
      </c>
    </row>
    <row r="46" spans="1:32">
      <c r="A46" s="43" t="s">
        <v>154</v>
      </c>
      <c r="B46" s="44" t="s">
        <v>173</v>
      </c>
      <c r="C46" s="43">
        <v>52795</v>
      </c>
      <c r="D46" s="43" t="s">
        <v>61</v>
      </c>
      <c r="E46">
        <f t="shared" si="0"/>
        <v>9.0015759710762939</v>
      </c>
      <c r="F46">
        <f t="shared" si="1"/>
        <v>9</v>
      </c>
      <c r="G46">
        <f t="shared" si="2"/>
        <v>3.2299999999959255</v>
      </c>
      <c r="I46">
        <f t="shared" si="3"/>
        <v>3.2299999999959255</v>
      </c>
      <c r="O46">
        <f t="shared" ca="1" si="4"/>
        <v>1.6516602110460998</v>
      </c>
      <c r="Q46" s="2">
        <f t="shared" si="5"/>
        <v>37776.5</v>
      </c>
    </row>
    <row r="47" spans="1:32">
      <c r="A47" s="43" t="s">
        <v>160</v>
      </c>
      <c r="B47" s="44" t="s">
        <v>173</v>
      </c>
      <c r="C47" s="43">
        <v>54842.2</v>
      </c>
      <c r="D47" s="43" t="s">
        <v>61</v>
      </c>
      <c r="E47">
        <f t="shared" si="0"/>
        <v>10.000439125067697</v>
      </c>
      <c r="F47">
        <f t="shared" si="1"/>
        <v>10</v>
      </c>
      <c r="G47">
        <f t="shared" si="2"/>
        <v>0.89999999999417923</v>
      </c>
      <c r="I47">
        <f t="shared" si="3"/>
        <v>0.89999999999417923</v>
      </c>
      <c r="O47">
        <f t="shared" ca="1" si="4"/>
        <v>1.9563346368681853</v>
      </c>
      <c r="Q47" s="2">
        <f t="shared" si="5"/>
        <v>39823.699999999997</v>
      </c>
    </row>
    <row r="48" spans="1:32">
      <c r="A48" s="43" t="s">
        <v>160</v>
      </c>
      <c r="B48" s="44" t="s">
        <v>173</v>
      </c>
      <c r="C48" s="43">
        <v>54842.37</v>
      </c>
      <c r="D48" s="43" t="s">
        <v>61</v>
      </c>
      <c r="E48">
        <f t="shared" si="0"/>
        <v>10.000522070913819</v>
      </c>
      <c r="F48">
        <f t="shared" si="1"/>
        <v>10</v>
      </c>
      <c r="G48">
        <f t="shared" si="2"/>
        <v>1.069999999999709</v>
      </c>
      <c r="I48">
        <f t="shared" si="3"/>
        <v>1.069999999999709</v>
      </c>
      <c r="O48">
        <f t="shared" ca="1" si="4"/>
        <v>1.9563346368681853</v>
      </c>
      <c r="Q48" s="2">
        <f t="shared" si="5"/>
        <v>39823.870000000003</v>
      </c>
    </row>
    <row r="49" spans="1:17">
      <c r="A49" s="43" t="s">
        <v>160</v>
      </c>
      <c r="B49" s="44" t="s">
        <v>173</v>
      </c>
      <c r="C49" s="43">
        <v>54842.67</v>
      </c>
      <c r="D49" s="43" t="s">
        <v>61</v>
      </c>
      <c r="E49">
        <f t="shared" si="0"/>
        <v>10.000668445936384</v>
      </c>
      <c r="F49">
        <f t="shared" si="1"/>
        <v>10</v>
      </c>
      <c r="G49">
        <f t="shared" si="2"/>
        <v>1.3699999999953434</v>
      </c>
      <c r="I49">
        <f t="shared" si="3"/>
        <v>1.3699999999953434</v>
      </c>
      <c r="O49">
        <f t="shared" ca="1" si="4"/>
        <v>1.9563346368681853</v>
      </c>
      <c r="Q49" s="2">
        <f t="shared" si="5"/>
        <v>39824.17</v>
      </c>
    </row>
    <row r="50" spans="1:17" s="47" customFormat="1">
      <c r="A50" s="45" t="s">
        <v>51</v>
      </c>
      <c r="B50" s="46"/>
      <c r="C50" s="45">
        <v>56893.876400000001</v>
      </c>
      <c r="D50" s="45">
        <v>7.0000000000000007E-2</v>
      </c>
      <c r="E50" s="47">
        <f t="shared" si="0"/>
        <v>11.001486389562485</v>
      </c>
      <c r="F50" s="47">
        <f t="shared" si="1"/>
        <v>11</v>
      </c>
      <c r="G50" s="47">
        <f t="shared" si="2"/>
        <v>3.0463999999992666</v>
      </c>
      <c r="I50" s="47">
        <f>+G50</f>
        <v>3.0463999999992666</v>
      </c>
      <c r="O50" s="47">
        <f t="shared" ca="1" si="4"/>
        <v>2.2610090626902708</v>
      </c>
      <c r="Q50" s="48">
        <f t="shared" si="5"/>
        <v>41875.376400000001</v>
      </c>
    </row>
    <row r="51" spans="1:17" s="47" customFormat="1">
      <c r="A51" s="49" t="s">
        <v>174</v>
      </c>
      <c r="B51" s="50" t="s">
        <v>173</v>
      </c>
      <c r="C51" s="51">
        <v>56893.96</v>
      </c>
      <c r="D51" s="51">
        <v>0.03</v>
      </c>
      <c r="E51" s="47">
        <f>+(C51-C$7)/C$8</f>
        <v>11.001527179402105</v>
      </c>
      <c r="F51" s="47">
        <f t="shared" si="1"/>
        <v>11</v>
      </c>
      <c r="G51" s="47">
        <f>+C51-(C$7+F51*C$8)</f>
        <v>3.1299999999973807</v>
      </c>
      <c r="I51" s="47">
        <f>+G51</f>
        <v>3.1299999999973807</v>
      </c>
      <c r="O51" s="47">
        <f ca="1">+C$11+C$12*F51</f>
        <v>2.2610090626902708</v>
      </c>
      <c r="Q51" s="48">
        <f>+C51-15018.5</f>
        <v>41875.46</v>
      </c>
    </row>
    <row r="52" spans="1:17" s="47" customFormat="1">
      <c r="A52" s="49" t="s">
        <v>174</v>
      </c>
      <c r="B52" s="50" t="s">
        <v>173</v>
      </c>
      <c r="C52" s="51">
        <v>56894.05</v>
      </c>
      <c r="D52" s="51">
        <v>0.04</v>
      </c>
      <c r="E52" s="47">
        <f>+(C52-C$7)/C$8</f>
        <v>11.001571091908877</v>
      </c>
      <c r="F52" s="47">
        <f t="shared" si="1"/>
        <v>11</v>
      </c>
      <c r="G52" s="47">
        <f>+C52-(C$7+F52*C$8)</f>
        <v>3.2200000000011642</v>
      </c>
      <c r="I52" s="47">
        <f>+G52</f>
        <v>3.2200000000011642</v>
      </c>
      <c r="O52" s="47">
        <f ca="1">+C$11+C$12*F52</f>
        <v>2.2610090626902708</v>
      </c>
      <c r="Q52" s="48">
        <f>+C52-15018.5</f>
        <v>41875.550000000003</v>
      </c>
    </row>
    <row r="53" spans="1:17" s="47" customFormat="1">
      <c r="A53" s="49" t="s">
        <v>174</v>
      </c>
      <c r="B53" s="50" t="s">
        <v>173</v>
      </c>
      <c r="C53" s="51">
        <v>56894.32</v>
      </c>
      <c r="D53" s="51">
        <v>0.03</v>
      </c>
      <c r="E53" s="47">
        <f>+(C53-C$7)/C$8</f>
        <v>11.001702829429185</v>
      </c>
      <c r="F53" s="47">
        <f t="shared" si="1"/>
        <v>11</v>
      </c>
      <c r="G53" s="47">
        <f>+C53-(C$7+F53*C$8)</f>
        <v>3.4899999999979627</v>
      </c>
      <c r="I53" s="47">
        <f>+G53</f>
        <v>3.4899999999979627</v>
      </c>
      <c r="O53" s="47">
        <f ca="1">+C$11+C$12*F53</f>
        <v>2.2610090626902708</v>
      </c>
      <c r="Q53" s="48">
        <f>+C53-15018.5</f>
        <v>41875.82</v>
      </c>
    </row>
    <row r="54" spans="1:17" s="47" customFormat="1">
      <c r="A54" s="49" t="s">
        <v>174</v>
      </c>
      <c r="B54" s="50" t="s">
        <v>173</v>
      </c>
      <c r="C54" s="51">
        <v>56894.34</v>
      </c>
      <c r="D54" s="51">
        <v>0.04</v>
      </c>
      <c r="E54" s="47">
        <f>+(C54-C$7)/C$8</f>
        <v>11.001712587764022</v>
      </c>
      <c r="F54" s="47">
        <f t="shared" si="1"/>
        <v>11</v>
      </c>
      <c r="G54" s="47">
        <f>+C54-(C$7+F54*C$8)</f>
        <v>3.5099999999947613</v>
      </c>
      <c r="I54" s="47">
        <f>+G54</f>
        <v>3.5099999999947613</v>
      </c>
      <c r="O54" s="47">
        <f ca="1">+C$11+C$12*F54</f>
        <v>2.2610090626902708</v>
      </c>
      <c r="Q54" s="48">
        <f>+C54-15018.5</f>
        <v>41875.839999999997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2"/>
  <sheetViews>
    <sheetView workbookViewId="0">
      <selection activeCell="A16" sqref="A16:D35"/>
    </sheetView>
  </sheetViews>
  <sheetFormatPr defaultRowHeight="12.75"/>
  <cols>
    <col min="1" max="1" width="19.7109375" style="28" customWidth="1"/>
    <col min="2" max="2" width="4.42578125" style="12" customWidth="1"/>
    <col min="3" max="3" width="12.7109375" style="2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2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0" t="s">
        <v>52</v>
      </c>
      <c r="I1" s="31" t="s">
        <v>53</v>
      </c>
      <c r="J1" s="32" t="s">
        <v>54</v>
      </c>
    </row>
    <row r="2" spans="1:16">
      <c r="I2" s="33" t="s">
        <v>55</v>
      </c>
      <c r="J2" s="34" t="s">
        <v>56</v>
      </c>
    </row>
    <row r="3" spans="1:16">
      <c r="A3" s="35" t="s">
        <v>57</v>
      </c>
      <c r="I3" s="33" t="s">
        <v>58</v>
      </c>
      <c r="J3" s="34" t="s">
        <v>34</v>
      </c>
    </row>
    <row r="4" spans="1:16">
      <c r="I4" s="33" t="s">
        <v>59</v>
      </c>
      <c r="J4" s="34" t="s">
        <v>34</v>
      </c>
    </row>
    <row r="5" spans="1:16" ht="13.5" thickBot="1">
      <c r="I5" s="36" t="s">
        <v>60</v>
      </c>
      <c r="J5" s="37" t="s">
        <v>61</v>
      </c>
    </row>
    <row r="10" spans="1:16" ht="13.5" thickBot="1"/>
    <row r="11" spans="1:16" ht="12.75" customHeight="1" thickBot="1">
      <c r="A11" s="28" t="str">
        <f t="shared" ref="A11:A35" si="0">P11</f>
        <v> MSAI 48.96 </v>
      </c>
      <c r="B11" s="5" t="str">
        <f t="shared" ref="B11:B35" si="1">IF(H11=INT(H11),"I","II")</f>
        <v>I</v>
      </c>
      <c r="C11" s="28">
        <f t="shared" ref="C11:C35" si="2">1*G11</f>
        <v>42544</v>
      </c>
      <c r="D11" s="12" t="str">
        <f t="shared" ref="D11:D35" si="3">VLOOKUP(F11,I$1:J$5,2,FALSE)</f>
        <v>vis</v>
      </c>
      <c r="E11" s="38">
        <f>VLOOKUP(C11,Active!C$21:E$973,3,FALSE)</f>
        <v>3.9999414499909731</v>
      </c>
      <c r="F11" s="5" t="s">
        <v>60</v>
      </c>
      <c r="G11" s="12" t="str">
        <f t="shared" ref="G11:G35" si="4">MID(I11,3,LEN(I11)-3)</f>
        <v>42544.0</v>
      </c>
      <c r="H11" s="28">
        <f t="shared" ref="H11:H35" si="5">1*K11</f>
        <v>4</v>
      </c>
      <c r="I11" s="39" t="s">
        <v>98</v>
      </c>
      <c r="J11" s="40" t="s">
        <v>99</v>
      </c>
      <c r="K11" s="39">
        <v>4</v>
      </c>
      <c r="L11" s="39" t="s">
        <v>100</v>
      </c>
      <c r="M11" s="40" t="s">
        <v>62</v>
      </c>
      <c r="N11" s="40"/>
      <c r="O11" s="41" t="s">
        <v>101</v>
      </c>
      <c r="P11" s="41" t="s">
        <v>68</v>
      </c>
    </row>
    <row r="12" spans="1:16" ht="12.75" customHeight="1" thickBot="1">
      <c r="A12" s="28" t="str">
        <f t="shared" si="0"/>
        <v> AC 878 </v>
      </c>
      <c r="B12" s="5" t="str">
        <f t="shared" si="1"/>
        <v>I</v>
      </c>
      <c r="C12" s="28">
        <f t="shared" si="2"/>
        <v>42544</v>
      </c>
      <c r="D12" s="12" t="str">
        <f t="shared" si="3"/>
        <v>vis</v>
      </c>
      <c r="E12" s="38">
        <f>VLOOKUP(C12,Active!C$21:E$973,3,FALSE)</f>
        <v>3.9999414499909731</v>
      </c>
      <c r="F12" s="5" t="s">
        <v>60</v>
      </c>
      <c r="G12" s="12" t="str">
        <f t="shared" si="4"/>
        <v>42544.0</v>
      </c>
      <c r="H12" s="28">
        <f t="shared" si="5"/>
        <v>4</v>
      </c>
      <c r="I12" s="39" t="s">
        <v>98</v>
      </c>
      <c r="J12" s="40" t="s">
        <v>99</v>
      </c>
      <c r="K12" s="39">
        <v>4</v>
      </c>
      <c r="L12" s="39" t="s">
        <v>100</v>
      </c>
      <c r="M12" s="40" t="s">
        <v>102</v>
      </c>
      <c r="N12" s="40" t="s">
        <v>103</v>
      </c>
      <c r="O12" s="41" t="s">
        <v>104</v>
      </c>
      <c r="P12" s="41" t="s">
        <v>105</v>
      </c>
    </row>
    <row r="13" spans="1:16" ht="12.75" customHeight="1" thickBot="1">
      <c r="A13" s="28" t="str">
        <f t="shared" si="0"/>
        <v> MVS 9.80 </v>
      </c>
      <c r="B13" s="5" t="str">
        <f t="shared" si="1"/>
        <v>I</v>
      </c>
      <c r="C13" s="28">
        <f t="shared" si="2"/>
        <v>44599</v>
      </c>
      <c r="D13" s="12" t="str">
        <f t="shared" si="3"/>
        <v>vis</v>
      </c>
      <c r="E13" s="38">
        <f>VLOOKUP(C13,Active!C$21:E$973,3,FALSE)</f>
        <v>5.0026103545690956</v>
      </c>
      <c r="F13" s="5" t="s">
        <v>60</v>
      </c>
      <c r="G13" s="12" t="str">
        <f t="shared" si="4"/>
        <v>44599.0</v>
      </c>
      <c r="H13" s="28">
        <f t="shared" si="5"/>
        <v>5</v>
      </c>
      <c r="I13" s="39" t="s">
        <v>123</v>
      </c>
      <c r="J13" s="40" t="s">
        <v>124</v>
      </c>
      <c r="K13" s="39">
        <v>5</v>
      </c>
      <c r="L13" s="39" t="s">
        <v>75</v>
      </c>
      <c r="M13" s="40" t="s">
        <v>91</v>
      </c>
      <c r="N13" s="40"/>
      <c r="O13" s="41" t="s">
        <v>125</v>
      </c>
      <c r="P13" s="41" t="s">
        <v>118</v>
      </c>
    </row>
    <row r="14" spans="1:16" ht="12.75" customHeight="1" thickBot="1">
      <c r="A14" s="28" t="str">
        <f t="shared" si="0"/>
        <v> BBS 118 </v>
      </c>
      <c r="B14" s="5" t="str">
        <f t="shared" si="1"/>
        <v>I</v>
      </c>
      <c r="C14" s="28">
        <f t="shared" si="2"/>
        <v>50744.800000000003</v>
      </c>
      <c r="D14" s="12" t="str">
        <f t="shared" si="3"/>
        <v>vis</v>
      </c>
      <c r="E14" s="38">
        <f>VLOOKUP(C14,Active!C$21:E$973,3,FALSE)</f>
        <v>8.0012490668592324</v>
      </c>
      <c r="F14" s="5" t="s">
        <v>60</v>
      </c>
      <c r="G14" s="12" t="str">
        <f t="shared" si="4"/>
        <v>50744.8</v>
      </c>
      <c r="H14" s="28">
        <f t="shared" si="5"/>
        <v>8</v>
      </c>
      <c r="I14" s="39" t="s">
        <v>145</v>
      </c>
      <c r="J14" s="40" t="s">
        <v>146</v>
      </c>
      <c r="K14" s="39">
        <v>8</v>
      </c>
      <c r="L14" s="39" t="s">
        <v>147</v>
      </c>
      <c r="M14" s="40" t="s">
        <v>102</v>
      </c>
      <c r="N14" s="40" t="s">
        <v>103</v>
      </c>
      <c r="O14" s="41" t="s">
        <v>148</v>
      </c>
      <c r="P14" s="41" t="s">
        <v>149</v>
      </c>
    </row>
    <row r="15" spans="1:16" ht="12.75" customHeight="1" thickBot="1">
      <c r="A15" s="28" t="str">
        <f t="shared" si="0"/>
        <v>BAVM 239 </v>
      </c>
      <c r="B15" s="5" t="str">
        <f t="shared" si="1"/>
        <v>I</v>
      </c>
      <c r="C15" s="28">
        <f t="shared" si="2"/>
        <v>56893.876400000001</v>
      </c>
      <c r="D15" s="12" t="str">
        <f t="shared" si="3"/>
        <v>vis</v>
      </c>
      <c r="E15" s="38">
        <f>VLOOKUP(C15,Active!C$21:E$973,3,FALSE)</f>
        <v>11.001486389562485</v>
      </c>
      <c r="F15" s="5" t="s">
        <v>60</v>
      </c>
      <c r="G15" s="12" t="str">
        <f t="shared" si="4"/>
        <v>56893.8764</v>
      </c>
      <c r="H15" s="28">
        <f t="shared" si="5"/>
        <v>11</v>
      </c>
      <c r="I15" s="39" t="s">
        <v>168</v>
      </c>
      <c r="J15" s="40" t="s">
        <v>169</v>
      </c>
      <c r="K15" s="39">
        <v>11</v>
      </c>
      <c r="L15" s="39" t="s">
        <v>170</v>
      </c>
      <c r="M15" s="40" t="s">
        <v>158</v>
      </c>
      <c r="N15" s="40" t="s">
        <v>60</v>
      </c>
      <c r="O15" s="41" t="s">
        <v>171</v>
      </c>
      <c r="P15" s="42" t="s">
        <v>172</v>
      </c>
    </row>
    <row r="16" spans="1:16" ht="12.75" customHeight="1" thickBot="1">
      <c r="A16" s="28" t="str">
        <f t="shared" si="0"/>
        <v> MSAI 48.96 </v>
      </c>
      <c r="B16" s="5" t="str">
        <f t="shared" si="1"/>
        <v>I</v>
      </c>
      <c r="C16" s="28">
        <f t="shared" si="2"/>
        <v>34345</v>
      </c>
      <c r="D16" s="12" t="str">
        <f t="shared" si="3"/>
        <v>vis</v>
      </c>
      <c r="E16" s="38">
        <f>VLOOKUP(C16,Active!C$21:E$973,3,FALSE)</f>
        <v>-4.879167418871643E-4</v>
      </c>
      <c r="F16" s="5" t="s">
        <v>60</v>
      </c>
      <c r="G16" s="12" t="str">
        <f t="shared" si="4"/>
        <v>34345.0</v>
      </c>
      <c r="H16" s="28">
        <f t="shared" si="5"/>
        <v>0</v>
      </c>
      <c r="I16" s="39" t="s">
        <v>63</v>
      </c>
      <c r="J16" s="40" t="s">
        <v>64</v>
      </c>
      <c r="K16" s="39">
        <v>0</v>
      </c>
      <c r="L16" s="39" t="s">
        <v>65</v>
      </c>
      <c r="M16" s="40" t="s">
        <v>66</v>
      </c>
      <c r="N16" s="40"/>
      <c r="O16" s="41" t="s">
        <v>67</v>
      </c>
      <c r="P16" s="41" t="s">
        <v>68</v>
      </c>
    </row>
    <row r="17" spans="1:16" ht="12.75" customHeight="1" thickBot="1">
      <c r="A17" s="28" t="str">
        <f t="shared" si="0"/>
        <v> MSAI 37.261 </v>
      </c>
      <c r="B17" s="5" t="str">
        <f t="shared" si="1"/>
        <v>I</v>
      </c>
      <c r="C17" s="28">
        <f t="shared" si="2"/>
        <v>36397</v>
      </c>
      <c r="D17" s="12" t="str">
        <f t="shared" si="3"/>
        <v>vis</v>
      </c>
      <c r="E17" s="38">
        <f>VLOOKUP(C17,Active!C$21:E$973,3,FALSE)</f>
        <v>1.000717237610574</v>
      </c>
      <c r="F17" s="5" t="s">
        <v>60</v>
      </c>
      <c r="G17" s="12" t="str">
        <f t="shared" si="4"/>
        <v>36397.0</v>
      </c>
      <c r="H17" s="28">
        <f t="shared" si="5"/>
        <v>1</v>
      </c>
      <c r="I17" s="39" t="s">
        <v>69</v>
      </c>
      <c r="J17" s="40" t="s">
        <v>70</v>
      </c>
      <c r="K17" s="39">
        <v>1</v>
      </c>
      <c r="L17" s="39" t="s">
        <v>71</v>
      </c>
      <c r="M17" s="40" t="s">
        <v>66</v>
      </c>
      <c r="N17" s="40"/>
      <c r="O17" s="41" t="s">
        <v>67</v>
      </c>
      <c r="P17" s="41" t="s">
        <v>72</v>
      </c>
    </row>
    <row r="18" spans="1:16" ht="12.75" customHeight="1" thickBot="1">
      <c r="A18" s="28" t="str">
        <f t="shared" si="0"/>
        <v> MSAI 37.261 </v>
      </c>
      <c r="B18" s="5" t="str">
        <f t="shared" si="1"/>
        <v>I</v>
      </c>
      <c r="C18" s="28">
        <f t="shared" si="2"/>
        <v>36401</v>
      </c>
      <c r="D18" s="12" t="str">
        <f t="shared" si="3"/>
        <v>vis</v>
      </c>
      <c r="E18" s="38">
        <f>VLOOKUP(C18,Active!C$21:E$973,3,FALSE)</f>
        <v>1.0026689045781227</v>
      </c>
      <c r="F18" s="5" t="s">
        <v>60</v>
      </c>
      <c r="G18" s="12" t="str">
        <f t="shared" si="4"/>
        <v>36401.0</v>
      </c>
      <c r="H18" s="28">
        <f t="shared" si="5"/>
        <v>1</v>
      </c>
      <c r="I18" s="39" t="s">
        <v>73</v>
      </c>
      <c r="J18" s="40" t="s">
        <v>74</v>
      </c>
      <c r="K18" s="39">
        <v>1</v>
      </c>
      <c r="L18" s="39" t="s">
        <v>75</v>
      </c>
      <c r="M18" s="40" t="s">
        <v>66</v>
      </c>
      <c r="N18" s="40"/>
      <c r="O18" s="41" t="s">
        <v>67</v>
      </c>
      <c r="P18" s="41" t="s">
        <v>72</v>
      </c>
    </row>
    <row r="19" spans="1:16" ht="12.75" customHeight="1" thickBot="1">
      <c r="A19" s="28" t="str">
        <f t="shared" si="0"/>
        <v> MSAI 48.96 </v>
      </c>
      <c r="B19" s="5" t="str">
        <f t="shared" si="1"/>
        <v>I</v>
      </c>
      <c r="C19" s="28">
        <f t="shared" si="2"/>
        <v>38440</v>
      </c>
      <c r="D19" s="12" t="str">
        <f t="shared" si="3"/>
        <v>vis</v>
      </c>
      <c r="E19" s="38">
        <f>VLOOKUP(C19,Active!C$21:E$973,3,FALSE)</f>
        <v>1.9975311412860508</v>
      </c>
      <c r="F19" s="5" t="s">
        <v>60</v>
      </c>
      <c r="G19" s="12" t="str">
        <f t="shared" si="4"/>
        <v>38440.0</v>
      </c>
      <c r="H19" s="28">
        <f t="shared" si="5"/>
        <v>2</v>
      </c>
      <c r="I19" s="39" t="s">
        <v>76</v>
      </c>
      <c r="J19" s="40" t="s">
        <v>77</v>
      </c>
      <c r="K19" s="39">
        <v>2</v>
      </c>
      <c r="L19" s="39" t="s">
        <v>78</v>
      </c>
      <c r="M19" s="40" t="s">
        <v>62</v>
      </c>
      <c r="N19" s="40"/>
      <c r="O19" s="41" t="s">
        <v>79</v>
      </c>
      <c r="P19" s="41" t="s">
        <v>68</v>
      </c>
    </row>
    <row r="20" spans="1:16" ht="12.75" customHeight="1" thickBot="1">
      <c r="A20" s="28" t="str">
        <f t="shared" si="0"/>
        <v> MSAI 48.96 </v>
      </c>
      <c r="B20" s="5" t="str">
        <f t="shared" si="1"/>
        <v>I</v>
      </c>
      <c r="C20" s="28">
        <f t="shared" si="2"/>
        <v>40492</v>
      </c>
      <c r="D20" s="12" t="str">
        <f t="shared" si="3"/>
        <v>vis</v>
      </c>
      <c r="E20" s="38">
        <f>VLOOKUP(C20,Active!C$21:E$973,3,FALSE)</f>
        <v>2.998736295638512</v>
      </c>
      <c r="F20" s="5" t="s">
        <v>60</v>
      </c>
      <c r="G20" s="12" t="str">
        <f t="shared" si="4"/>
        <v>40492.0</v>
      </c>
      <c r="H20" s="28">
        <f t="shared" si="5"/>
        <v>3</v>
      </c>
      <c r="I20" s="39" t="s">
        <v>80</v>
      </c>
      <c r="J20" s="40" t="s">
        <v>81</v>
      </c>
      <c r="K20" s="39">
        <v>3</v>
      </c>
      <c r="L20" s="39" t="s">
        <v>82</v>
      </c>
      <c r="M20" s="40" t="s">
        <v>62</v>
      </c>
      <c r="N20" s="40"/>
      <c r="O20" s="41" t="s">
        <v>79</v>
      </c>
      <c r="P20" s="41" t="s">
        <v>68</v>
      </c>
    </row>
    <row r="21" spans="1:16" ht="12.75" customHeight="1" thickBot="1">
      <c r="A21" s="28" t="str">
        <f t="shared" si="0"/>
        <v>IBVS 1009 </v>
      </c>
      <c r="B21" s="5" t="str">
        <f t="shared" si="1"/>
        <v>I</v>
      </c>
      <c r="C21" s="28">
        <f t="shared" si="2"/>
        <v>40493</v>
      </c>
      <c r="D21" s="12" t="str">
        <f t="shared" si="3"/>
        <v>vis</v>
      </c>
      <c r="E21" s="38">
        <f>VLOOKUP(C21,Active!C$21:E$973,3,FALSE)</f>
        <v>2.9992242123803989</v>
      </c>
      <c r="F21" s="5" t="s">
        <v>60</v>
      </c>
      <c r="G21" s="12" t="str">
        <f t="shared" si="4"/>
        <v>40493.0</v>
      </c>
      <c r="H21" s="28">
        <f t="shared" si="5"/>
        <v>3</v>
      </c>
      <c r="I21" s="39" t="s">
        <v>83</v>
      </c>
      <c r="J21" s="40" t="s">
        <v>84</v>
      </c>
      <c r="K21" s="39">
        <v>3</v>
      </c>
      <c r="L21" s="39" t="s">
        <v>85</v>
      </c>
      <c r="M21" s="40" t="s">
        <v>62</v>
      </c>
      <c r="N21" s="40"/>
      <c r="O21" s="41" t="s">
        <v>86</v>
      </c>
      <c r="P21" s="42" t="s">
        <v>87</v>
      </c>
    </row>
    <row r="22" spans="1:16" ht="12.75" customHeight="1" thickBot="1">
      <c r="A22" s="28" t="str">
        <f t="shared" si="0"/>
        <v> MVS 7.99 </v>
      </c>
      <c r="B22" s="5" t="str">
        <f t="shared" si="1"/>
        <v>I</v>
      </c>
      <c r="C22" s="28">
        <f t="shared" si="2"/>
        <v>42543.6</v>
      </c>
      <c r="D22" s="12" t="str">
        <f t="shared" si="3"/>
        <v>vis</v>
      </c>
      <c r="E22" s="38">
        <f>VLOOKUP(C22,Active!C$21:E$973,3,FALSE)</f>
        <v>3.9997462832942174</v>
      </c>
      <c r="F22" s="5" t="s">
        <v>60</v>
      </c>
      <c r="G22" s="12" t="str">
        <f t="shared" si="4"/>
        <v>42543.6</v>
      </c>
      <c r="H22" s="28">
        <f t="shared" si="5"/>
        <v>4</v>
      </c>
      <c r="I22" s="39" t="s">
        <v>88</v>
      </c>
      <c r="J22" s="40" t="s">
        <v>89</v>
      </c>
      <c r="K22" s="39">
        <v>4</v>
      </c>
      <c r="L22" s="39" t="s">
        <v>90</v>
      </c>
      <c r="M22" s="40" t="s">
        <v>91</v>
      </c>
      <c r="N22" s="40"/>
      <c r="O22" s="41" t="s">
        <v>92</v>
      </c>
      <c r="P22" s="41" t="s">
        <v>93</v>
      </c>
    </row>
    <row r="23" spans="1:16" ht="12.75" customHeight="1" thickBot="1">
      <c r="A23" s="28" t="str">
        <f t="shared" si="0"/>
        <v> MVS 7.99 </v>
      </c>
      <c r="B23" s="5" t="str">
        <f t="shared" si="1"/>
        <v>I</v>
      </c>
      <c r="C23" s="28">
        <f t="shared" si="2"/>
        <v>42543.7</v>
      </c>
      <c r="D23" s="12" t="str">
        <f t="shared" si="3"/>
        <v>vis</v>
      </c>
      <c r="E23" s="38">
        <f>VLOOKUP(C23,Active!C$21:E$973,3,FALSE)</f>
        <v>3.9997950749684055</v>
      </c>
      <c r="F23" s="5" t="s">
        <v>60</v>
      </c>
      <c r="G23" s="12" t="str">
        <f t="shared" si="4"/>
        <v>42543.7</v>
      </c>
      <c r="H23" s="28">
        <f t="shared" si="5"/>
        <v>4</v>
      </c>
      <c r="I23" s="39" t="s">
        <v>94</v>
      </c>
      <c r="J23" s="40" t="s">
        <v>95</v>
      </c>
      <c r="K23" s="39">
        <v>4</v>
      </c>
      <c r="L23" s="39" t="s">
        <v>96</v>
      </c>
      <c r="M23" s="40" t="s">
        <v>91</v>
      </c>
      <c r="N23" s="40"/>
      <c r="O23" s="41" t="s">
        <v>97</v>
      </c>
      <c r="P23" s="41" t="s">
        <v>93</v>
      </c>
    </row>
    <row r="24" spans="1:16" ht="12.75" customHeight="1" thickBot="1">
      <c r="A24" s="28" t="str">
        <f t="shared" si="0"/>
        <v> MVS 7.97 </v>
      </c>
      <c r="B24" s="5" t="str">
        <f t="shared" si="1"/>
        <v>I</v>
      </c>
      <c r="C24" s="28">
        <f t="shared" si="2"/>
        <v>42544.1</v>
      </c>
      <c r="D24" s="12" t="str">
        <f t="shared" si="3"/>
        <v>vis</v>
      </c>
      <c r="E24" s="38">
        <f>VLOOKUP(C24,Active!C$21:E$973,3,FALSE)</f>
        <v>3.9999902416651612</v>
      </c>
      <c r="F24" s="5" t="s">
        <v>60</v>
      </c>
      <c r="G24" s="12" t="str">
        <f t="shared" si="4"/>
        <v>42544.1</v>
      </c>
      <c r="H24" s="28">
        <f t="shared" si="5"/>
        <v>4</v>
      </c>
      <c r="I24" s="39" t="s">
        <v>106</v>
      </c>
      <c r="J24" s="40" t="s">
        <v>107</v>
      </c>
      <c r="K24" s="39">
        <v>4</v>
      </c>
      <c r="L24" s="39" t="s">
        <v>108</v>
      </c>
      <c r="M24" s="40" t="s">
        <v>102</v>
      </c>
      <c r="N24" s="40" t="s">
        <v>103</v>
      </c>
      <c r="O24" s="41" t="s">
        <v>79</v>
      </c>
      <c r="P24" s="41" t="s">
        <v>109</v>
      </c>
    </row>
    <row r="25" spans="1:16" ht="12.75" customHeight="1" thickBot="1">
      <c r="A25" s="28" t="str">
        <f t="shared" si="0"/>
        <v> MVS 9.40 </v>
      </c>
      <c r="B25" s="5" t="str">
        <f t="shared" si="1"/>
        <v>I</v>
      </c>
      <c r="C25" s="28">
        <f t="shared" si="2"/>
        <v>44591.8</v>
      </c>
      <c r="D25" s="12" t="str">
        <f t="shared" si="3"/>
        <v>vis</v>
      </c>
      <c r="E25" s="38">
        <f>VLOOKUP(C25,Active!C$21:E$973,3,FALSE)</f>
        <v>4.9990973540275094</v>
      </c>
      <c r="F25" s="5" t="s">
        <v>60</v>
      </c>
      <c r="G25" s="12" t="str">
        <f t="shared" si="4"/>
        <v>44591.8</v>
      </c>
      <c r="H25" s="28">
        <f t="shared" si="5"/>
        <v>5</v>
      </c>
      <c r="I25" s="39" t="s">
        <v>110</v>
      </c>
      <c r="J25" s="40" t="s">
        <v>111</v>
      </c>
      <c r="K25" s="39">
        <v>5</v>
      </c>
      <c r="L25" s="39" t="s">
        <v>112</v>
      </c>
      <c r="M25" s="40" t="s">
        <v>102</v>
      </c>
      <c r="N25" s="40" t="s">
        <v>103</v>
      </c>
      <c r="O25" s="41" t="s">
        <v>113</v>
      </c>
      <c r="P25" s="41" t="s">
        <v>114</v>
      </c>
    </row>
    <row r="26" spans="1:16" ht="12.75" customHeight="1" thickBot="1">
      <c r="A26" s="28" t="str">
        <f t="shared" si="0"/>
        <v> MVS 9.80 </v>
      </c>
      <c r="B26" s="5" t="str">
        <f t="shared" si="1"/>
        <v>I</v>
      </c>
      <c r="C26" s="28">
        <f t="shared" si="2"/>
        <v>44593</v>
      </c>
      <c r="D26" s="12" t="str">
        <f t="shared" si="3"/>
        <v>vis</v>
      </c>
      <c r="E26" s="38">
        <f>VLOOKUP(C26,Active!C$21:E$973,3,FALSE)</f>
        <v>4.9996828541177729</v>
      </c>
      <c r="F26" s="5" t="s">
        <v>60</v>
      </c>
      <c r="G26" s="12" t="str">
        <f t="shared" si="4"/>
        <v>44593.0</v>
      </c>
      <c r="H26" s="28">
        <f t="shared" si="5"/>
        <v>5</v>
      </c>
      <c r="I26" s="39" t="s">
        <v>115</v>
      </c>
      <c r="J26" s="40" t="s">
        <v>116</v>
      </c>
      <c r="K26" s="39">
        <v>5</v>
      </c>
      <c r="L26" s="39" t="s">
        <v>65</v>
      </c>
      <c r="M26" s="40" t="s">
        <v>91</v>
      </c>
      <c r="N26" s="40"/>
      <c r="O26" s="41" t="s">
        <v>117</v>
      </c>
      <c r="P26" s="41" t="s">
        <v>118</v>
      </c>
    </row>
    <row r="27" spans="1:16" ht="12.75" customHeight="1" thickBot="1">
      <c r="A27" s="28" t="str">
        <f t="shared" si="0"/>
        <v>IBVS 1939 </v>
      </c>
      <c r="B27" s="5" t="str">
        <f t="shared" si="1"/>
        <v>I</v>
      </c>
      <c r="C27" s="28">
        <f t="shared" si="2"/>
        <v>44594.1</v>
      </c>
      <c r="D27" s="12" t="str">
        <f t="shared" si="3"/>
        <v>vis</v>
      </c>
      <c r="E27" s="38">
        <f>VLOOKUP(C27,Active!C$21:E$973,3,FALSE)</f>
        <v>5.0002195625338484</v>
      </c>
      <c r="F27" s="5" t="s">
        <v>60</v>
      </c>
      <c r="G27" s="12" t="str">
        <f t="shared" si="4"/>
        <v>44594.1</v>
      </c>
      <c r="H27" s="28">
        <f t="shared" si="5"/>
        <v>5</v>
      </c>
      <c r="I27" s="39" t="s">
        <v>119</v>
      </c>
      <c r="J27" s="40" t="s">
        <v>120</v>
      </c>
      <c r="K27" s="39">
        <v>5</v>
      </c>
      <c r="L27" s="39" t="s">
        <v>121</v>
      </c>
      <c r="M27" s="40" t="s">
        <v>102</v>
      </c>
      <c r="N27" s="40" t="s">
        <v>103</v>
      </c>
      <c r="O27" s="41" t="s">
        <v>86</v>
      </c>
      <c r="P27" s="42" t="s">
        <v>122</v>
      </c>
    </row>
    <row r="28" spans="1:16" ht="12.75" customHeight="1" thickBot="1">
      <c r="A28" s="28" t="str">
        <f t="shared" si="0"/>
        <v> AVSJ 27.35 </v>
      </c>
      <c r="B28" s="5" t="str">
        <f t="shared" si="1"/>
        <v>I</v>
      </c>
      <c r="C28" s="28">
        <f t="shared" si="2"/>
        <v>50743.85</v>
      </c>
      <c r="D28" s="12" t="str">
        <f t="shared" si="3"/>
        <v>vis</v>
      </c>
      <c r="E28" s="38">
        <f>VLOOKUP(C28,Active!C$21:E$973,3,FALSE)</f>
        <v>8.0007855459544377</v>
      </c>
      <c r="F28" s="5" t="s">
        <v>60</v>
      </c>
      <c r="G28" s="12" t="str">
        <f t="shared" si="4"/>
        <v>50743.85</v>
      </c>
      <c r="H28" s="28">
        <f t="shared" si="5"/>
        <v>8</v>
      </c>
      <c r="I28" s="39" t="s">
        <v>126</v>
      </c>
      <c r="J28" s="40" t="s">
        <v>127</v>
      </c>
      <c r="K28" s="39">
        <v>8</v>
      </c>
      <c r="L28" s="39" t="s">
        <v>128</v>
      </c>
      <c r="M28" s="40" t="s">
        <v>91</v>
      </c>
      <c r="N28" s="40"/>
      <c r="O28" s="41" t="s">
        <v>129</v>
      </c>
      <c r="P28" s="41" t="s">
        <v>130</v>
      </c>
    </row>
    <row r="29" spans="1:16" ht="12.75" customHeight="1" thickBot="1">
      <c r="A29" s="28" t="str">
        <f t="shared" si="0"/>
        <v> AVSJ 27.35 </v>
      </c>
      <c r="B29" s="5" t="str">
        <f t="shared" si="1"/>
        <v>I</v>
      </c>
      <c r="C29" s="28">
        <f t="shared" si="2"/>
        <v>50743.92</v>
      </c>
      <c r="D29" s="12" t="str">
        <f t="shared" si="3"/>
        <v>vis</v>
      </c>
      <c r="E29" s="38">
        <f>VLOOKUP(C29,Active!C$21:E$973,3,FALSE)</f>
        <v>8.0008197001263692</v>
      </c>
      <c r="F29" s="5" t="s">
        <v>60</v>
      </c>
      <c r="G29" s="12" t="str">
        <f t="shared" si="4"/>
        <v>50743.92</v>
      </c>
      <c r="H29" s="28">
        <f t="shared" si="5"/>
        <v>8</v>
      </c>
      <c r="I29" s="39" t="s">
        <v>131</v>
      </c>
      <c r="J29" s="40" t="s">
        <v>132</v>
      </c>
      <c r="K29" s="39">
        <v>8</v>
      </c>
      <c r="L29" s="39" t="s">
        <v>133</v>
      </c>
      <c r="M29" s="40" t="s">
        <v>102</v>
      </c>
      <c r="N29" s="40" t="s">
        <v>134</v>
      </c>
      <c r="O29" s="41" t="s">
        <v>135</v>
      </c>
      <c r="P29" s="41" t="s">
        <v>130</v>
      </c>
    </row>
    <row r="30" spans="1:16" ht="12.75" customHeight="1" thickBot="1">
      <c r="A30" s="28" t="str">
        <f t="shared" si="0"/>
        <v> AVSJ 27.35 </v>
      </c>
      <c r="B30" s="5" t="str">
        <f t="shared" si="1"/>
        <v>I</v>
      </c>
      <c r="C30" s="28">
        <f t="shared" si="2"/>
        <v>50744</v>
      </c>
      <c r="D30" s="12" t="str">
        <f t="shared" si="3"/>
        <v>vis</v>
      </c>
      <c r="E30" s="38">
        <f>VLOOKUP(C30,Active!C$21:E$973,3,FALSE)</f>
        <v>8.0008587334657211</v>
      </c>
      <c r="F30" s="5" t="s">
        <v>60</v>
      </c>
      <c r="G30" s="12" t="str">
        <f t="shared" si="4"/>
        <v>50744.00</v>
      </c>
      <c r="H30" s="28">
        <f t="shared" si="5"/>
        <v>8</v>
      </c>
      <c r="I30" s="39" t="s">
        <v>136</v>
      </c>
      <c r="J30" s="40" t="s">
        <v>137</v>
      </c>
      <c r="K30" s="39">
        <v>8</v>
      </c>
      <c r="L30" s="39" t="s">
        <v>138</v>
      </c>
      <c r="M30" s="40" t="s">
        <v>91</v>
      </c>
      <c r="N30" s="40"/>
      <c r="O30" s="41" t="s">
        <v>139</v>
      </c>
      <c r="P30" s="41" t="s">
        <v>130</v>
      </c>
    </row>
    <row r="31" spans="1:16" ht="12.75" customHeight="1" thickBot="1">
      <c r="A31" s="28" t="str">
        <f t="shared" si="0"/>
        <v> MN 303.521 </v>
      </c>
      <c r="B31" s="5" t="str">
        <f t="shared" si="1"/>
        <v>I</v>
      </c>
      <c r="C31" s="28">
        <f t="shared" si="2"/>
        <v>50744.2</v>
      </c>
      <c r="D31" s="12" t="str">
        <f t="shared" si="3"/>
        <v>vis</v>
      </c>
      <c r="E31" s="38">
        <f>VLOOKUP(C31,Active!C$21:E$973,3,FALSE)</f>
        <v>8.0009563168140971</v>
      </c>
      <c r="F31" s="5" t="s">
        <v>60</v>
      </c>
      <c r="G31" s="12" t="str">
        <f t="shared" si="4"/>
        <v>50744.2</v>
      </c>
      <c r="H31" s="28">
        <f t="shared" si="5"/>
        <v>8</v>
      </c>
      <c r="I31" s="39" t="s">
        <v>140</v>
      </c>
      <c r="J31" s="40" t="s">
        <v>141</v>
      </c>
      <c r="K31" s="39">
        <v>8</v>
      </c>
      <c r="L31" s="39" t="s">
        <v>142</v>
      </c>
      <c r="M31" s="40" t="s">
        <v>102</v>
      </c>
      <c r="N31" s="40" t="s">
        <v>134</v>
      </c>
      <c r="O31" s="41" t="s">
        <v>143</v>
      </c>
      <c r="P31" s="41" t="s">
        <v>144</v>
      </c>
    </row>
    <row r="32" spans="1:16" ht="12.75" customHeight="1" thickBot="1">
      <c r="A32" s="28" t="str">
        <f t="shared" si="0"/>
        <v> BBS 129 </v>
      </c>
      <c r="B32" s="5" t="str">
        <f t="shared" si="1"/>
        <v>I</v>
      </c>
      <c r="C32" s="28">
        <f t="shared" si="2"/>
        <v>52795</v>
      </c>
      <c r="D32" s="12" t="str">
        <f t="shared" si="3"/>
        <v>vis</v>
      </c>
      <c r="E32" s="38">
        <f>VLOOKUP(C32,Active!C$21:E$973,3,FALSE)</f>
        <v>9.0015759710762939</v>
      </c>
      <c r="F32" s="5" t="s">
        <v>60</v>
      </c>
      <c r="G32" s="12" t="str">
        <f t="shared" si="4"/>
        <v>52795.0</v>
      </c>
      <c r="H32" s="28">
        <f t="shared" si="5"/>
        <v>9</v>
      </c>
      <c r="I32" s="39" t="s">
        <v>150</v>
      </c>
      <c r="J32" s="40" t="s">
        <v>151</v>
      </c>
      <c r="K32" s="39">
        <v>9</v>
      </c>
      <c r="L32" s="39" t="s">
        <v>152</v>
      </c>
      <c r="M32" s="40" t="s">
        <v>91</v>
      </c>
      <c r="N32" s="40"/>
      <c r="O32" s="41" t="s">
        <v>153</v>
      </c>
      <c r="P32" s="41" t="s">
        <v>154</v>
      </c>
    </row>
    <row r="33" spans="1:16" ht="12.75" customHeight="1" thickBot="1">
      <c r="A33" s="28" t="str">
        <f t="shared" si="0"/>
        <v>VSB 50 </v>
      </c>
      <c r="B33" s="5" t="str">
        <f t="shared" si="1"/>
        <v>I</v>
      </c>
      <c r="C33" s="28">
        <f t="shared" si="2"/>
        <v>54842.2</v>
      </c>
      <c r="D33" s="12" t="str">
        <f t="shared" si="3"/>
        <v>vis</v>
      </c>
      <c r="E33" s="38">
        <f>VLOOKUP(C33,Active!C$21:E$973,3,FALSE)</f>
        <v>10.000439125067697</v>
      </c>
      <c r="F33" s="5" t="s">
        <v>60</v>
      </c>
      <c r="G33" s="12" t="str">
        <f t="shared" si="4"/>
        <v>54842.20</v>
      </c>
      <c r="H33" s="28">
        <f t="shared" si="5"/>
        <v>10</v>
      </c>
      <c r="I33" s="39" t="s">
        <v>155</v>
      </c>
      <c r="J33" s="40" t="s">
        <v>156</v>
      </c>
      <c r="K33" s="39">
        <v>10</v>
      </c>
      <c r="L33" s="39" t="s">
        <v>157</v>
      </c>
      <c r="M33" s="40" t="s">
        <v>158</v>
      </c>
      <c r="N33" s="40" t="s">
        <v>60</v>
      </c>
      <c r="O33" s="41" t="s">
        <v>159</v>
      </c>
      <c r="P33" s="42" t="s">
        <v>160</v>
      </c>
    </row>
    <row r="34" spans="1:16" ht="12.75" customHeight="1" thickBot="1">
      <c r="A34" s="28" t="str">
        <f t="shared" si="0"/>
        <v>VSB 50 </v>
      </c>
      <c r="B34" s="5" t="str">
        <f t="shared" si="1"/>
        <v>I</v>
      </c>
      <c r="C34" s="28">
        <f t="shared" si="2"/>
        <v>54842.37</v>
      </c>
      <c r="D34" s="12" t="str">
        <f t="shared" si="3"/>
        <v>vis</v>
      </c>
      <c r="E34" s="38">
        <f>VLOOKUP(C34,Active!C$21:E$973,3,FALSE)</f>
        <v>10.000522070913819</v>
      </c>
      <c r="F34" s="5" t="s">
        <v>60</v>
      </c>
      <c r="G34" s="12" t="str">
        <f t="shared" si="4"/>
        <v>54842.37</v>
      </c>
      <c r="H34" s="28">
        <f t="shared" si="5"/>
        <v>10</v>
      </c>
      <c r="I34" s="39" t="s">
        <v>161</v>
      </c>
      <c r="J34" s="40" t="s">
        <v>162</v>
      </c>
      <c r="K34" s="39">
        <v>10</v>
      </c>
      <c r="L34" s="39" t="s">
        <v>163</v>
      </c>
      <c r="M34" s="40" t="s">
        <v>158</v>
      </c>
      <c r="N34" s="40" t="s">
        <v>30</v>
      </c>
      <c r="O34" s="41" t="s">
        <v>159</v>
      </c>
      <c r="P34" s="42" t="s">
        <v>160</v>
      </c>
    </row>
    <row r="35" spans="1:16" ht="12.75" customHeight="1" thickBot="1">
      <c r="A35" s="28" t="str">
        <f t="shared" si="0"/>
        <v>VSB 50 </v>
      </c>
      <c r="B35" s="5" t="str">
        <f t="shared" si="1"/>
        <v>I</v>
      </c>
      <c r="C35" s="28">
        <f t="shared" si="2"/>
        <v>54842.67</v>
      </c>
      <c r="D35" s="12" t="str">
        <f t="shared" si="3"/>
        <v>vis</v>
      </c>
      <c r="E35" s="38">
        <f>VLOOKUP(C35,Active!C$21:E$973,3,FALSE)</f>
        <v>10.000668445936384</v>
      </c>
      <c r="F35" s="5" t="s">
        <v>60</v>
      </c>
      <c r="G35" s="12" t="str">
        <f t="shared" si="4"/>
        <v>54842.67</v>
      </c>
      <c r="H35" s="28">
        <f t="shared" si="5"/>
        <v>10</v>
      </c>
      <c r="I35" s="39" t="s">
        <v>164</v>
      </c>
      <c r="J35" s="40" t="s">
        <v>165</v>
      </c>
      <c r="K35" s="39">
        <v>10</v>
      </c>
      <c r="L35" s="39" t="s">
        <v>166</v>
      </c>
      <c r="M35" s="40" t="s">
        <v>158</v>
      </c>
      <c r="N35" s="40" t="s">
        <v>167</v>
      </c>
      <c r="O35" s="41" t="s">
        <v>159</v>
      </c>
      <c r="P35" s="42" t="s">
        <v>160</v>
      </c>
    </row>
    <row r="36" spans="1:16">
      <c r="B36" s="5"/>
      <c r="F36" s="5"/>
    </row>
    <row r="37" spans="1:16">
      <c r="B37" s="5"/>
      <c r="F37" s="5"/>
    </row>
    <row r="38" spans="1:16">
      <c r="B38" s="5"/>
      <c r="F38" s="5"/>
    </row>
    <row r="39" spans="1:16">
      <c r="B39" s="5"/>
      <c r="F39" s="5"/>
    </row>
    <row r="40" spans="1:16">
      <c r="B40" s="5"/>
      <c r="F40" s="5"/>
    </row>
    <row r="41" spans="1:16">
      <c r="B41" s="5"/>
      <c r="F41" s="5"/>
    </row>
    <row r="42" spans="1:16">
      <c r="B42" s="5"/>
      <c r="F42" s="5"/>
    </row>
    <row r="43" spans="1:16">
      <c r="B43" s="5"/>
      <c r="F43" s="5"/>
    </row>
    <row r="44" spans="1:16">
      <c r="B44" s="5"/>
      <c r="F44" s="5"/>
    </row>
    <row r="45" spans="1:16">
      <c r="B45" s="5"/>
      <c r="F45" s="5"/>
    </row>
    <row r="46" spans="1:16">
      <c r="B46" s="5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</sheetData>
  <phoneticPr fontId="7" type="noConversion"/>
  <hyperlinks>
    <hyperlink ref="P21" r:id="rId1" display="http://www.konkoly.hu/cgi-bin/IBVS?1009"/>
    <hyperlink ref="P27" r:id="rId2" display="http://www.konkoly.hu/cgi-bin/IBVS?1939"/>
    <hyperlink ref="P33" r:id="rId3" display="http://vsolj.cetus-net.org/vsoljno50.pdf"/>
    <hyperlink ref="P34" r:id="rId4" display="http://vsolj.cetus-net.org/vsoljno50.pdf"/>
    <hyperlink ref="P35" r:id="rId5" display="http://vsolj.cetus-net.org/vsoljno50.pdf"/>
    <hyperlink ref="P15" r:id="rId6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2024-01-23T02:56:59Z</dcterms:modified>
</cp:coreProperties>
</file>