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9F6E9C1-33F8-450B-AD9D-A4A0E182F4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5" i="1"/>
  <c r="F25" i="1"/>
  <c r="G25" i="1"/>
  <c r="I25" i="1"/>
  <c r="E26" i="1"/>
  <c r="F26" i="1"/>
  <c r="G26" i="1"/>
  <c r="K26" i="1"/>
  <c r="E31" i="1"/>
  <c r="F31" i="1"/>
  <c r="G31" i="1"/>
  <c r="K31" i="1"/>
  <c r="E34" i="1"/>
  <c r="F34" i="1"/>
  <c r="G34" i="1"/>
  <c r="K34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8" i="1"/>
  <c r="F28" i="1"/>
  <c r="G28" i="1"/>
  <c r="J28" i="1"/>
  <c r="E29" i="1"/>
  <c r="F29" i="1"/>
  <c r="G29" i="1"/>
  <c r="J29" i="1"/>
  <c r="E33" i="1"/>
  <c r="F33" i="1"/>
  <c r="G33" i="1"/>
  <c r="J33" i="1"/>
  <c r="E27" i="1"/>
  <c r="F27" i="1"/>
  <c r="G27" i="1"/>
  <c r="K27" i="1"/>
  <c r="E30" i="1"/>
  <c r="F30" i="1"/>
  <c r="G30" i="1"/>
  <c r="K30" i="1"/>
  <c r="E32" i="1"/>
  <c r="F32" i="1"/>
  <c r="G32" i="1"/>
  <c r="K32" i="1"/>
  <c r="E36" i="1"/>
  <c r="F36" i="1"/>
  <c r="G36" i="1"/>
  <c r="K36" i="1"/>
  <c r="E35" i="1"/>
  <c r="F35" i="1"/>
  <c r="G35" i="1"/>
  <c r="K35" i="1"/>
  <c r="D9" i="1"/>
  <c r="C9" i="1"/>
  <c r="Q25" i="1"/>
  <c r="Q26" i="1"/>
  <c r="Q31" i="1"/>
  <c r="Q34" i="1"/>
  <c r="G18" i="2"/>
  <c r="C18" i="2"/>
  <c r="E18" i="2"/>
  <c r="G17" i="2"/>
  <c r="C17" i="2"/>
  <c r="G25" i="2"/>
  <c r="C25" i="2"/>
  <c r="G16" i="2"/>
  <c r="C16" i="2"/>
  <c r="E16" i="2"/>
  <c r="G24" i="2"/>
  <c r="C24" i="2"/>
  <c r="E24" i="2"/>
  <c r="G23" i="2"/>
  <c r="C23" i="2"/>
  <c r="E23" i="2"/>
  <c r="G22" i="2"/>
  <c r="C22" i="2"/>
  <c r="E22" i="2"/>
  <c r="G15" i="2"/>
  <c r="C15" i="2"/>
  <c r="G14" i="2"/>
  <c r="C14" i="2"/>
  <c r="E14" i="2"/>
  <c r="G21" i="2"/>
  <c r="C21" i="2"/>
  <c r="E21" i="2"/>
  <c r="G20" i="2"/>
  <c r="C20" i="2"/>
  <c r="G19" i="2"/>
  <c r="C19" i="2"/>
  <c r="E19" i="2"/>
  <c r="G13" i="2"/>
  <c r="C13" i="2"/>
  <c r="G12" i="2"/>
  <c r="C12" i="2"/>
  <c r="E12" i="2"/>
  <c r="G11" i="2"/>
  <c r="C11" i="2"/>
  <c r="E11" i="2"/>
  <c r="H18" i="2"/>
  <c r="D18" i="2"/>
  <c r="B18" i="2"/>
  <c r="A18" i="2"/>
  <c r="H17" i="2"/>
  <c r="B17" i="2"/>
  <c r="D17" i="2"/>
  <c r="A17" i="2"/>
  <c r="H25" i="2"/>
  <c r="D25" i="2"/>
  <c r="B25" i="2"/>
  <c r="A25" i="2"/>
  <c r="H16" i="2"/>
  <c r="B16" i="2"/>
  <c r="D16" i="2"/>
  <c r="A16" i="2"/>
  <c r="H24" i="2"/>
  <c r="D24" i="2"/>
  <c r="B24" i="2"/>
  <c r="A24" i="2"/>
  <c r="H23" i="2"/>
  <c r="B23" i="2"/>
  <c r="D23" i="2"/>
  <c r="A23" i="2"/>
  <c r="H22" i="2"/>
  <c r="D22" i="2"/>
  <c r="B22" i="2"/>
  <c r="A22" i="2"/>
  <c r="H15" i="2"/>
  <c r="B15" i="2"/>
  <c r="D15" i="2"/>
  <c r="A15" i="2"/>
  <c r="H14" i="2"/>
  <c r="D14" i="2"/>
  <c r="B14" i="2"/>
  <c r="A14" i="2"/>
  <c r="H21" i="2"/>
  <c r="B21" i="2"/>
  <c r="D21" i="2"/>
  <c r="A21" i="2"/>
  <c r="H20" i="2"/>
  <c r="D20" i="2"/>
  <c r="B20" i="2"/>
  <c r="A20" i="2"/>
  <c r="H19" i="2"/>
  <c r="B19" i="2"/>
  <c r="D19" i="2"/>
  <c r="A19" i="2"/>
  <c r="H13" i="2"/>
  <c r="D13" i="2"/>
  <c r="B13" i="2"/>
  <c r="A13" i="2"/>
  <c r="H12" i="2"/>
  <c r="B12" i="2"/>
  <c r="D12" i="2"/>
  <c r="A12" i="2"/>
  <c r="H11" i="2"/>
  <c r="D11" i="2"/>
  <c r="B11" i="2"/>
  <c r="A11" i="2"/>
  <c r="Q33" i="1"/>
  <c r="Q36" i="1"/>
  <c r="F16" i="1"/>
  <c r="F17" i="1" s="1"/>
  <c r="Q35" i="1"/>
  <c r="Q27" i="1"/>
  <c r="Q30" i="1"/>
  <c r="Q32" i="1"/>
  <c r="C17" i="1"/>
  <c r="Q28" i="1"/>
  <c r="Q29" i="1"/>
  <c r="Q23" i="1"/>
  <c r="Q24" i="1"/>
  <c r="Q22" i="1"/>
  <c r="Q21" i="1"/>
  <c r="E25" i="2"/>
  <c r="E15" i="2"/>
  <c r="E20" i="2"/>
  <c r="E13" i="2"/>
  <c r="E17" i="2"/>
  <c r="C12" i="1"/>
  <c r="C11" i="1"/>
  <c r="O33" i="1" l="1"/>
  <c r="O24" i="1"/>
  <c r="O23" i="1"/>
  <c r="O31" i="1"/>
  <c r="O22" i="1"/>
  <c r="O21" i="1"/>
  <c r="O26" i="1"/>
  <c r="O27" i="1"/>
  <c r="O30" i="1"/>
  <c r="O32" i="1"/>
  <c r="O29" i="1"/>
  <c r="O34" i="1"/>
  <c r="O36" i="1"/>
  <c r="O28" i="1"/>
  <c r="O35" i="1"/>
  <c r="O25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<sst xmlns="http://schemas.openxmlformats.org/spreadsheetml/2006/main" count="222" uniqueCount="137">
  <si>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</si>
  <si>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</si>
  <si>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</si>
  <si>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</si>
  <si>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</si>
  <si>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</si>
  <si>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</si>
  <si>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</si>
  <si>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</si>
  <si>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</si>
  <si>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</si>
  <si>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</si>
  <si>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</si>
  <si>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</si>
  <si>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</si>
  <si>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</si>
  <si>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</si>
  <si>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</si>
  <si>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</si>
  <si>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</si>
  <si>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</si>
  <si>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</si>
  <si>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</si>
  <si>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</si>
  <si>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</si>
  <si>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</si>
  <si>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</si>
  <si>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</si>
  <si>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</t>
  </si>
  <si>
    <t>IBVS 4888</t>
  </si>
  <si>
    <t>I</t>
  </si>
  <si>
    <t>IBVS 5263</t>
  </si>
  <si>
    <t>IBVS 5287</t>
  </si>
  <si>
    <t># of data points:</t>
  </si>
  <si>
    <t>IM Cep / GSC 04283-00073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</si>
  <si>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</si>
  <si>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</si>
  <si>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</si>
  <si>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</si>
  <si>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</si>
  <si>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</si>
  <si>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</si>
  <si>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</si>
  <si>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II</t>
  </si>
  <si>
    <t>IBVS 6011</t>
  </si>
  <si>
    <t>OEJV 0160</t>
  </si>
  <si>
    <t>Add cycle</t>
  </si>
  <si>
    <t>Old Cycle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</si>
  <si>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</si>
  <si>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</si>
  <si>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</si>
  <si>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</si>
  <si>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</si>
  <si>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</si>
  <si>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</si>
  <si>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</si>
  <si>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</si>
  <si>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</si>
  <si>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</si>
  <si>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</si>
  <si>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2450943.4194 </t>
  </si>
  <si>
    <t> 09.05.1998 22:03 </t>
  </si>
  <si>
    <t> -0.0748 </t>
  </si>
  <si>
    <t>E </t>
  </si>
  <si>
    <t>?</t>
  </si>
  <si>
    <t> M.Zejda </t>
  </si>
  <si>
    <t>IBVS 4888 </t>
  </si>
  <si>
    <t>2451331.3974 </t>
  </si>
  <si>
    <t> 01.06.1999 21:32 </t>
  </si>
  <si>
    <t> -0.0858 </t>
  </si>
  <si>
    <t> J.Safar </t>
  </si>
  <si>
    <t>IBVS 5263 </t>
  </si>
  <si>
    <t>2451848.3939 </t>
  </si>
  <si>
    <t> 30.10.2000 21:27 </t>
  </si>
  <si>
    <t> -0.1007 </t>
  </si>
  <si>
    <t>IBVS 5287 </t>
  </si>
  <si>
    <t>2451902.305 </t>
  </si>
  <si>
    <t> 23.12.2000 19:19 </t>
  </si>
  <si>
    <t> -0.103 </t>
  </si>
  <si>
    <t> R.Diethelm </t>
  </si>
  <si>
    <t> BBS 124 </t>
  </si>
  <si>
    <t>2452213.3441 </t>
  </si>
  <si>
    <t> 30.10.2001 20:15 </t>
  </si>
  <si>
    <t> -0.0997 </t>
  </si>
  <si>
    <t> E.Blättler </t>
  </si>
  <si>
    <t> BBS 127 </t>
  </si>
  <si>
    <t>2453622.4340 </t>
  </si>
  <si>
    <t> 08.09.2005 22:24 </t>
  </si>
  <si>
    <t> -0.1194 </t>
  </si>
  <si>
    <t>C </t>
  </si>
  <si>
    <t>R</t>
  </si>
  <si>
    <t> M.Lehky </t>
  </si>
  <si>
    <t>OEJV 0107 </t>
  </si>
  <si>
    <t>2453635.3370 </t>
  </si>
  <si>
    <t> 21.09.2005 20:05 </t>
  </si>
  <si>
    <t> -0.1187 </t>
  </si>
  <si>
    <t>o</t>
  </si>
  <si>
    <t> W.Moschner </t>
  </si>
  <si>
    <t>BAVM 178 </t>
  </si>
  <si>
    <t>2453671.2772 </t>
  </si>
  <si>
    <t> 27.10.2005 18:39 </t>
  </si>
  <si>
    <t> -0.1204 </t>
  </si>
  <si>
    <t>2453868.4927 </t>
  </si>
  <si>
    <t> 12.05.2006 23:49 </t>
  </si>
  <si>
    <t> -0.1250 </t>
  </si>
  <si>
    <t>2454338.4893 </t>
  </si>
  <si>
    <t> 25.08.2007 23:44 </t>
  </si>
  <si>
    <t> -0.1388 </t>
  </si>
  <si>
    <t>-I</t>
  </si>
  <si>
    <t> F.Agerer </t>
  </si>
  <si>
    <t>BAVM 193 </t>
  </si>
  <si>
    <t>2454841.2151 </t>
  </si>
  <si>
    <t> 09.01.2009 17:09 </t>
  </si>
  <si>
    <t>27029.5</t>
  </si>
  <si>
    <t> -0.1398 </t>
  </si>
  <si>
    <t>2455480.3167 </t>
  </si>
  <si>
    <t> 10.10.2010 19:36 </t>
  </si>
  <si>
    <t>27723</t>
  </si>
  <si>
    <t> -0.1601 </t>
  </si>
  <si>
    <t>BAVM 215 </t>
  </si>
  <si>
    <t>2455807.4845 </t>
  </si>
  <si>
    <t> 02.09.2011 23:37 </t>
  </si>
  <si>
    <t>28078</t>
  </si>
  <si>
    <t> -0.1564 </t>
  </si>
  <si>
    <t>BAVM 225 </t>
  </si>
  <si>
    <t>2455875.6825 </t>
  </si>
  <si>
    <t> 10.11.2011 04:22 </t>
  </si>
  <si>
    <t>28152</t>
  </si>
  <si>
    <t> -0.1560 </t>
  </si>
  <si>
    <t>ns</t>
  </si>
  <si>
    <t>IBVS 6011 </t>
  </si>
  <si>
    <t>2456158.60894 </t>
  </si>
  <si>
    <t> 19.08.2012 02:36 </t>
  </si>
  <si>
    <t>28459</t>
  </si>
  <si>
    <t> -0.15741 </t>
  </si>
  <si>
    <t> J.Trnka </t>
  </si>
  <si>
    <t>OEJV 0160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</si>
</sst>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Cep - O-C Diagr.</a:t>
            </a:r>
          </a:p>
        </c:rich>
      </c:tx>
      <c:layout>
        <c:manualLayout>
          <c:xMode val="edge"/>
          <c:yMode val="edge"/>
          <c:x val="0.3812604361449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E-4585-BB45-C5321D15AB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4">
                  <c:v>-0.10255449999385746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E-4585-BB45-C5321D15AB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7">
                  <c:v>-0.11866900000313763</c:v>
                </c:pt>
                <c:pt idx="8">
                  <c:v>-0.12043999999877997</c:v>
                </c:pt>
                <c:pt idx="12">
                  <c:v>-0.16014699999504955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FE-4585-BB45-C5321D15AB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-7.4800000002142042E-2</c:v>
                </c:pt>
                <c:pt idx="2">
                  <c:v>-8.5768999997526407E-2</c:v>
                </c:pt>
                <c:pt idx="3">
                  <c:v>-0.10069799999473616</c:v>
                </c:pt>
                <c:pt idx="5">
                  <c:v>-9.9741999998514075E-2</c:v>
                </c:pt>
                <c:pt idx="6">
                  <c:v>-0.11945299999933923</c:v>
                </c:pt>
                <c:pt idx="9">
                  <c:v>-0.12500599999475526</c:v>
                </c:pt>
                <c:pt idx="10">
                  <c:v>-0.13877599999977974</c:v>
                </c:pt>
                <c:pt idx="11">
                  <c:v>-0.13981549999152776</c:v>
                </c:pt>
                <c:pt idx="13">
                  <c:v>-0.15644199999951525</c:v>
                </c:pt>
                <c:pt idx="14">
                  <c:v>-0.15602799999760464</c:v>
                </c:pt>
                <c:pt idx="15">
                  <c:v>-0.1574110000001383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FE-4585-BB45-C5321D15AB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FE-4585-BB45-C5321D15AB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FE-4585-BB45-C5321D15AB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FE-4585-BB45-C5321D15AB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0.24618419395437025</c:v>
                </c:pt>
                <c:pt idx="1">
                  <c:v>-8.0781881095909336E-2</c:v>
                </c:pt>
                <c:pt idx="2">
                  <c:v>-8.6819280990478087E-2</c:v>
                </c:pt>
                <c:pt idx="3">
                  <c:v>-9.4864367310794173E-2</c:v>
                </c:pt>
                <c:pt idx="4">
                  <c:v>-9.570329342441003E-2</c:v>
                </c:pt>
                <c:pt idx="5">
                  <c:v>-0.10054325177219381</c:v>
                </c:pt>
                <c:pt idx="6">
                  <c:v>-0.12247005566482</c:v>
                </c:pt>
                <c:pt idx="7">
                  <c:v>-0.12267082430739473</c:v>
                </c:pt>
                <c:pt idx="8">
                  <c:v>-0.12323010838313864</c:v>
                </c:pt>
                <c:pt idx="9">
                  <c:v>-0.12629900049106668</c:v>
                </c:pt>
                <c:pt idx="10">
                  <c:v>-0.13361271532771768</c:v>
                </c:pt>
                <c:pt idx="11">
                  <c:v>-0.14143552207946886</c:v>
                </c:pt>
                <c:pt idx="12">
                  <c:v>-0.15138074019558156</c:v>
                </c:pt>
                <c:pt idx="13">
                  <c:v>-0.15647165934658369</c:v>
                </c:pt>
                <c:pt idx="14">
                  <c:v>-0.15753286502876446</c:v>
                </c:pt>
                <c:pt idx="15">
                  <c:v>-0.16193543454808179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FE-4585-BB45-C5321D15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421584"/>
        <c:axId val="1"/>
      </c:scatterChart>
      <c:valAx>
        <c:axId val="653421584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421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Cep - O-C Diagr.</a:t>
            </a:r>
          </a:p>
        </c:rich>
      </c:tx>
      <c:layout>
        <c:manualLayout>
          <c:xMode val="edge"/>
          <c:yMode val="edge"/>
          <c:x val="0.3806451612903225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4-4828-BF62-44E8724F98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4">
                  <c:v>-0.10255449999385746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4-4828-BF62-44E8724F98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7">
                  <c:v>-0.11866900000313763</c:v>
                </c:pt>
                <c:pt idx="8">
                  <c:v>-0.12043999999877997</c:v>
                </c:pt>
                <c:pt idx="12">
                  <c:v>-0.16014699999504955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4-4828-BF62-44E8724F98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-7.4800000002142042E-2</c:v>
                </c:pt>
                <c:pt idx="2">
                  <c:v>-8.5768999997526407E-2</c:v>
                </c:pt>
                <c:pt idx="3">
                  <c:v>-0.10069799999473616</c:v>
                </c:pt>
                <c:pt idx="5">
                  <c:v>-9.9741999998514075E-2</c:v>
                </c:pt>
                <c:pt idx="6">
                  <c:v>-0.11945299999933923</c:v>
                </c:pt>
                <c:pt idx="9">
                  <c:v>-0.12500599999475526</c:v>
                </c:pt>
                <c:pt idx="10">
                  <c:v>-0.13877599999977974</c:v>
                </c:pt>
                <c:pt idx="11">
                  <c:v>-0.13981549999152776</c:v>
                </c:pt>
                <c:pt idx="13">
                  <c:v>-0.15644199999951525</c:v>
                </c:pt>
                <c:pt idx="14">
                  <c:v>-0.15602799999760464</c:v>
                </c:pt>
                <c:pt idx="15">
                  <c:v>-0.1574110000001383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4-4828-BF62-44E8724F98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4-4828-BF62-44E8724F98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4-4828-BF62-44E8724F98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2.8E-3</c:v>
                  </c:pt>
                  <c:pt idx="2">
                    <c:v>2E-3</c:v>
                  </c:pt>
                  <c:pt idx="3">
                    <c:v>2.7000000000000001E-3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4-4828-BF62-44E8724F98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22800</c:v>
                </c:pt>
                <c:pt idx="2">
                  <c:v>23221</c:v>
                </c:pt>
                <c:pt idx="3">
                  <c:v>23782</c:v>
                </c:pt>
                <c:pt idx="4">
                  <c:v>23840.5</c:v>
                </c:pt>
                <c:pt idx="5">
                  <c:v>24178</c:v>
                </c:pt>
                <c:pt idx="6">
                  <c:v>25707</c:v>
                </c:pt>
                <c:pt idx="7">
                  <c:v>25721</c:v>
                </c:pt>
                <c:pt idx="8">
                  <c:v>25760</c:v>
                </c:pt>
                <c:pt idx="9">
                  <c:v>25974</c:v>
                </c:pt>
                <c:pt idx="10">
                  <c:v>26484</c:v>
                </c:pt>
                <c:pt idx="11">
                  <c:v>27029.5</c:v>
                </c:pt>
                <c:pt idx="12">
                  <c:v>27723</c:v>
                </c:pt>
                <c:pt idx="13">
                  <c:v>28078</c:v>
                </c:pt>
                <c:pt idx="14">
                  <c:v>28152</c:v>
                </c:pt>
                <c:pt idx="15">
                  <c:v>28459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0.24618419395437025</c:v>
                </c:pt>
                <c:pt idx="1">
                  <c:v>-8.0781881095909336E-2</c:v>
                </c:pt>
                <c:pt idx="2">
                  <c:v>-8.6819280990478087E-2</c:v>
                </c:pt>
                <c:pt idx="3">
                  <c:v>-9.4864367310794173E-2</c:v>
                </c:pt>
                <c:pt idx="4">
                  <c:v>-9.570329342441003E-2</c:v>
                </c:pt>
                <c:pt idx="5">
                  <c:v>-0.10054325177219381</c:v>
                </c:pt>
                <c:pt idx="6">
                  <c:v>-0.12247005566482</c:v>
                </c:pt>
                <c:pt idx="7">
                  <c:v>-0.12267082430739473</c:v>
                </c:pt>
                <c:pt idx="8">
                  <c:v>-0.12323010838313864</c:v>
                </c:pt>
                <c:pt idx="9">
                  <c:v>-0.12629900049106668</c:v>
                </c:pt>
                <c:pt idx="10">
                  <c:v>-0.13361271532771768</c:v>
                </c:pt>
                <c:pt idx="11">
                  <c:v>-0.14143552207946886</c:v>
                </c:pt>
                <c:pt idx="12">
                  <c:v>-0.15138074019558156</c:v>
                </c:pt>
                <c:pt idx="13">
                  <c:v>-0.15647165934658369</c:v>
                </c:pt>
                <c:pt idx="14">
                  <c:v>-0.15753286502876446</c:v>
                </c:pt>
                <c:pt idx="15">
                  <c:v>-0.16193543454808179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4-4828-BF62-44E8724F9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292928"/>
        <c:axId val="1"/>
      </c:scatterChart>
      <c:valAx>
        <c:axId val="8852929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29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73298764483702"/>
          <c:w val="0.6741935483870967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16</xdr:col>
      <xdr:colOff>342900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541A4C9-FEA1-BD37-27F5-1A45177F4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0</xdr:rowOff>
    </xdr:from>
    <xdr:to>
      <xdr:col>25</xdr:col>
      <xdr:colOff>590550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CC8B884-55E9-2E17-3C2A-E6016B1EF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s="10" t="s">
        <v>28</v>
      </c>
    </row>
    <row r="4" spans="1:6" ht="14.25" thickTop="1" thickBot="1" x14ac:dyDescent="0.25">
      <c r="A4" s="7" t="s">
        <v>0</v>
      </c>
      <c r="C4" s="3">
        <v>29931.264999999999</v>
      </c>
      <c r="D4" s="4">
        <v>0.92158899999999999</v>
      </c>
    </row>
    <row r="5" spans="1:6" ht="13.5" thickTop="1" x14ac:dyDescent="0.2">
      <c r="A5" s="14" t="s">
        <v>36</v>
      </c>
      <c r="B5" s="10"/>
      <c r="C5" s="15">
        <v>-9.5</v>
      </c>
      <c r="D5" s="10" t="s">
        <v>37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29931.264999999999</v>
      </c>
    </row>
    <row r="8" spans="1:6" x14ac:dyDescent="0.2">
      <c r="A8" t="s">
        <v>3</v>
      </c>
      <c r="C8">
        <f>+D4</f>
        <v>0.92158899999999999</v>
      </c>
    </row>
    <row r="9" spans="1:6" x14ac:dyDescent="0.2">
      <c r="A9" s="27" t="s">
        <v>41</v>
      </c>
      <c r="B9" s="28">
        <v>22</v>
      </c>
      <c r="C9" s="17" t="str">
        <f>"F"&amp;B9</f>
        <v>F22</v>
      </c>
      <c r="D9" s="13" t="str">
        <f>"G"&amp;B9</f>
        <v>G22</v>
      </c>
    </row>
    <row r="10" spans="1:6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6" x14ac:dyDescent="0.2">
      <c r="A11" s="10" t="s">
        <v>16</v>
      </c>
      <c r="B11" s="10"/>
      <c r="C11" s="16">
        <f ca="1">INTERCEPT(INDIRECT($D$9):G989,INDIRECT($C$9):F989)</f>
        <v>0.24618419395437025</v>
      </c>
      <c r="D11" s="5"/>
      <c r="E11" s="10"/>
    </row>
    <row r="12" spans="1:6" x14ac:dyDescent="0.2">
      <c r="A12" s="10" t="s">
        <v>17</v>
      </c>
      <c r="B12" s="10"/>
      <c r="C12" s="16">
        <f ca="1">SLOPE(INDIRECT($D$9):G989,INDIRECT($C$9):F989)</f>
        <v>-1.4340617326766649E-5</v>
      </c>
      <c r="D12" s="5"/>
      <c r="E12" s="10"/>
    </row>
    <row r="13" spans="1:6" x14ac:dyDescent="0.2">
      <c r="A13" s="10" t="s">
        <v>19</v>
      </c>
      <c r="B13" s="10"/>
      <c r="C13" s="5" t="s">
        <v>14</v>
      </c>
    </row>
    <row r="14" spans="1:6" x14ac:dyDescent="0.2">
      <c r="A14" s="10"/>
      <c r="B14" s="10"/>
      <c r="C14" s="10"/>
    </row>
    <row r="15" spans="1:6" x14ac:dyDescent="0.2">
      <c r="A15" s="18" t="s">
        <v>18</v>
      </c>
      <c r="B15" s="10"/>
      <c r="C15" s="19">
        <f ca="1">(C7+C11)+(C8+C12)*INT(MAX(F21:F3530))</f>
        <v>56158.604415565453</v>
      </c>
      <c r="E15" s="20" t="s">
        <v>46</v>
      </c>
      <c r="F15" s="15">
        <v>1</v>
      </c>
    </row>
    <row r="16" spans="1:6" x14ac:dyDescent="0.2">
      <c r="A16" s="22" t="s">
        <v>4</v>
      </c>
      <c r="B16" s="10"/>
      <c r="C16" s="23">
        <f ca="1">+C8+C12</f>
        <v>0.92157465938267324</v>
      </c>
      <c r="E16" s="20" t="s">
        <v>38</v>
      </c>
      <c r="F16" s="21">
        <f ca="1">NOW()+15018.5+$C$5/24</f>
        <v>60332.686297222222</v>
      </c>
    </row>
    <row r="17" spans="1:18" ht="13.5" thickBot="1" x14ac:dyDescent="0.25">
      <c r="A17" s="20" t="s">
        <v>33</v>
      </c>
      <c r="B17" s="10"/>
      <c r="C17" s="10">
        <f>COUNT(C21:C2188)</f>
        <v>16</v>
      </c>
      <c r="E17" s="20" t="s">
        <v>47</v>
      </c>
      <c r="F17" s="21">
        <f ca="1">ROUND(2*(F16-$C$7)/$C$8,0)/2+F15</f>
        <v>32989</v>
      </c>
    </row>
    <row r="18" spans="1:18" ht="14.25" thickTop="1" thickBot="1" x14ac:dyDescent="0.25">
      <c r="A18" s="22" t="s">
        <v>5</v>
      </c>
      <c r="B18" s="10"/>
      <c r="C18" s="25">
        <f ca="1">+C15</f>
        <v>56158.604415565453</v>
      </c>
      <c r="D18" s="26">
        <f ca="1">+C16</f>
        <v>0.92157465938267324</v>
      </c>
      <c r="E18" s="20" t="s">
        <v>39</v>
      </c>
      <c r="F18" s="13">
        <f ca="1">ROUND(2*(F16-$C$15)/$C$16,0)/2+F15</f>
        <v>4530.5</v>
      </c>
    </row>
    <row r="19" spans="1:18" ht="13.5" thickTop="1" x14ac:dyDescent="0.2">
      <c r="E19" s="20" t="s">
        <v>40</v>
      </c>
      <c r="F19" s="24">
        <f ca="1">+$C$15+$C$16*F18-15018.5-$C$5/24</f>
        <v>45315.694243231992</v>
      </c>
    </row>
    <row r="20" spans="1:18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56</v>
      </c>
      <c r="I20" s="9" t="s">
        <v>59</v>
      </c>
      <c r="J20" s="9" t="s">
        <v>53</v>
      </c>
      <c r="K20" s="9" t="s">
        <v>51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8" x14ac:dyDescent="0.2">
      <c r="A21" t="s">
        <v>12</v>
      </c>
      <c r="C21" s="29">
        <v>29931.264999999999</v>
      </c>
      <c r="D21" s="29" t="s">
        <v>14</v>
      </c>
      <c r="E21">
        <f t="shared" ref="E21:E36" si="0">+(C21-C$7)/C$8</f>
        <v>0</v>
      </c>
      <c r="F21">
        <f t="shared" ref="F21:F36" si="1">ROUND(2*E21,0)/2</f>
        <v>0</v>
      </c>
      <c r="G21">
        <f t="shared" ref="G21:G36" si="2">+C21-(C$7+F21*C$8)</f>
        <v>0</v>
      </c>
      <c r="H21" s="13"/>
      <c r="I21">
        <f>+G21</f>
        <v>0</v>
      </c>
      <c r="O21">
        <f t="shared" ref="O21:O36" ca="1" si="3">+C$11+C$12*$F21</f>
        <v>0.24618419395437025</v>
      </c>
      <c r="Q21" s="2">
        <f t="shared" ref="Q21:Q36" si="4">+C21-15018.5</f>
        <v>14912.764999999999</v>
      </c>
    </row>
    <row r="22" spans="1:18" x14ac:dyDescent="0.2">
      <c r="A22" s="11" t="s">
        <v>29</v>
      </c>
      <c r="B22" s="12"/>
      <c r="C22" s="11">
        <v>50943.419399999999</v>
      </c>
      <c r="D22" s="11">
        <v>2.8E-3</v>
      </c>
      <c r="E22">
        <f t="shared" si="0"/>
        <v>22799.918835836797</v>
      </c>
      <c r="F22">
        <f t="shared" si="1"/>
        <v>22800</v>
      </c>
      <c r="G22">
        <f t="shared" si="2"/>
        <v>-7.4800000002142042E-2</v>
      </c>
      <c r="K22">
        <f>+G22</f>
        <v>-7.4800000002142042E-2</v>
      </c>
      <c r="O22">
        <f t="shared" ca="1" si="3"/>
        <v>-8.0781881095909336E-2</v>
      </c>
      <c r="Q22" s="2">
        <f t="shared" si="4"/>
        <v>35924.919399999999</v>
      </c>
      <c r="R22" t="s">
        <v>51</v>
      </c>
    </row>
    <row r="23" spans="1:18" x14ac:dyDescent="0.2">
      <c r="A23" s="33" t="s">
        <v>31</v>
      </c>
      <c r="B23" s="34" t="s">
        <v>30</v>
      </c>
      <c r="C23" s="35">
        <v>51331.397400000002</v>
      </c>
      <c r="D23" s="35">
        <v>2E-3</v>
      </c>
      <c r="E23">
        <f t="shared" si="0"/>
        <v>23220.906933568003</v>
      </c>
      <c r="F23">
        <f t="shared" si="1"/>
        <v>23221</v>
      </c>
      <c r="G23">
        <f t="shared" si="2"/>
        <v>-8.5768999997526407E-2</v>
      </c>
      <c r="K23">
        <f>+G23</f>
        <v>-8.5768999997526407E-2</v>
      </c>
      <c r="O23">
        <f t="shared" ca="1" si="3"/>
        <v>-8.6819280990478087E-2</v>
      </c>
      <c r="Q23" s="2">
        <f t="shared" si="4"/>
        <v>36312.897400000002</v>
      </c>
      <c r="R23" t="s">
        <v>51</v>
      </c>
    </row>
    <row r="24" spans="1:18" x14ac:dyDescent="0.2">
      <c r="A24" s="33" t="s">
        <v>32</v>
      </c>
      <c r="B24" s="34" t="s">
        <v>30</v>
      </c>
      <c r="C24" s="35">
        <v>51848.393900000003</v>
      </c>
      <c r="D24" s="35">
        <v>2.7000000000000001E-3</v>
      </c>
      <c r="E24">
        <f t="shared" si="0"/>
        <v>23781.890734372919</v>
      </c>
      <c r="F24">
        <f t="shared" si="1"/>
        <v>23782</v>
      </c>
      <c r="G24">
        <f t="shared" si="2"/>
        <v>-0.10069799999473616</v>
      </c>
      <c r="K24">
        <f>+G24</f>
        <v>-0.10069799999473616</v>
      </c>
      <c r="O24">
        <f t="shared" ca="1" si="3"/>
        <v>-9.4864367310794173E-2</v>
      </c>
      <c r="Q24" s="2">
        <f t="shared" si="4"/>
        <v>36829.893900000003</v>
      </c>
      <c r="R24" t="s">
        <v>51</v>
      </c>
    </row>
    <row r="25" spans="1:18" x14ac:dyDescent="0.2">
      <c r="A25" s="56" t="s">
        <v>80</v>
      </c>
      <c r="B25" s="57" t="s">
        <v>43</v>
      </c>
      <c r="C25" s="56">
        <v>51902.305</v>
      </c>
      <c r="D25" s="56" t="s">
        <v>59</v>
      </c>
      <c r="E25">
        <f t="shared" si="0"/>
        <v>23840.38871991745</v>
      </c>
      <c r="F25">
        <f t="shared" si="1"/>
        <v>23840.5</v>
      </c>
      <c r="G25">
        <f t="shared" si="2"/>
        <v>-0.10255449999385746</v>
      </c>
      <c r="I25">
        <f>+G25</f>
        <v>-0.10255449999385746</v>
      </c>
      <c r="O25">
        <f t="shared" ca="1" si="3"/>
        <v>-9.570329342441003E-2</v>
      </c>
      <c r="Q25" s="2">
        <f t="shared" si="4"/>
        <v>36883.805</v>
      </c>
    </row>
    <row r="26" spans="1:18" x14ac:dyDescent="0.2">
      <c r="A26" s="56" t="s">
        <v>85</v>
      </c>
      <c r="B26" s="57" t="s">
        <v>30</v>
      </c>
      <c r="C26" s="56">
        <v>52213.344100000002</v>
      </c>
      <c r="D26" s="56" t="s">
        <v>59</v>
      </c>
      <c r="E26">
        <f t="shared" si="0"/>
        <v>24177.891771711689</v>
      </c>
      <c r="F26">
        <f t="shared" si="1"/>
        <v>24178</v>
      </c>
      <c r="G26">
        <f t="shared" si="2"/>
        <v>-9.9741999998514075E-2</v>
      </c>
      <c r="K26">
        <f>+G26</f>
        <v>-9.9741999998514075E-2</v>
      </c>
      <c r="O26">
        <f t="shared" ca="1" si="3"/>
        <v>-0.10054325177219381</v>
      </c>
      <c r="Q26" s="2">
        <f t="shared" si="4"/>
        <v>37194.844100000002</v>
      </c>
    </row>
    <row r="27" spans="1:18" x14ac:dyDescent="0.2">
      <c r="A27" s="36" t="s">
        <v>42</v>
      </c>
      <c r="B27" s="37" t="s">
        <v>30</v>
      </c>
      <c r="C27" s="38">
        <v>53622.433969999998</v>
      </c>
      <c r="D27" s="38">
        <v>2.9999999999999997E-4</v>
      </c>
      <c r="E27">
        <f t="shared" si="0"/>
        <v>25706.870383652582</v>
      </c>
      <c r="F27">
        <f t="shared" si="1"/>
        <v>25707</v>
      </c>
      <c r="G27">
        <f t="shared" si="2"/>
        <v>-0.11945299999933923</v>
      </c>
      <c r="K27">
        <f>+G27</f>
        <v>-0.11945299999933923</v>
      </c>
      <c r="O27">
        <f t="shared" ca="1" si="3"/>
        <v>-0.12247005566482</v>
      </c>
      <c r="Q27" s="2">
        <f t="shared" si="4"/>
        <v>38603.933969999998</v>
      </c>
      <c r="R27" t="s">
        <v>51</v>
      </c>
    </row>
    <row r="28" spans="1:18" x14ac:dyDescent="0.2">
      <c r="A28" s="36" t="s">
        <v>35</v>
      </c>
      <c r="B28" s="34"/>
      <c r="C28" s="38">
        <v>53635.337</v>
      </c>
      <c r="D28" s="38">
        <v>4.0000000000000002E-4</v>
      </c>
      <c r="E28">
        <f t="shared" si="0"/>
        <v>25720.871234357182</v>
      </c>
      <c r="F28">
        <f t="shared" si="1"/>
        <v>25721</v>
      </c>
      <c r="G28">
        <f t="shared" si="2"/>
        <v>-0.11866900000313763</v>
      </c>
      <c r="J28">
        <f>+G28</f>
        <v>-0.11866900000313763</v>
      </c>
      <c r="O28">
        <f t="shared" ca="1" si="3"/>
        <v>-0.12267082430739473</v>
      </c>
      <c r="Q28" s="2">
        <f t="shared" si="4"/>
        <v>38616.837</v>
      </c>
      <c r="R28" t="s">
        <v>53</v>
      </c>
    </row>
    <row r="29" spans="1:18" x14ac:dyDescent="0.2">
      <c r="A29" s="36" t="s">
        <v>35</v>
      </c>
      <c r="B29" s="34"/>
      <c r="C29" s="38">
        <v>53671.277199999997</v>
      </c>
      <c r="D29" s="38">
        <v>2.9999999999999997E-4</v>
      </c>
      <c r="E29">
        <f t="shared" si="0"/>
        <v>25759.869312676256</v>
      </c>
      <c r="F29">
        <f t="shared" si="1"/>
        <v>25760</v>
      </c>
      <c r="G29">
        <f t="shared" si="2"/>
        <v>-0.12043999999877997</v>
      </c>
      <c r="J29">
        <f>+G29</f>
        <v>-0.12043999999877997</v>
      </c>
      <c r="O29">
        <f t="shared" ca="1" si="3"/>
        <v>-0.12323010838313864</v>
      </c>
      <c r="Q29" s="2">
        <f t="shared" si="4"/>
        <v>38652.777199999997</v>
      </c>
      <c r="R29" t="s">
        <v>53</v>
      </c>
    </row>
    <row r="30" spans="1:18" x14ac:dyDescent="0.2">
      <c r="A30" s="36" t="s">
        <v>42</v>
      </c>
      <c r="B30" s="37" t="s">
        <v>30</v>
      </c>
      <c r="C30" s="38">
        <v>53868.492680000003</v>
      </c>
      <c r="D30" s="38">
        <v>2.9999999999999997E-4</v>
      </c>
      <c r="E30">
        <f t="shared" si="0"/>
        <v>25973.864358190043</v>
      </c>
      <c r="F30">
        <f t="shared" si="1"/>
        <v>25974</v>
      </c>
      <c r="G30">
        <f t="shared" si="2"/>
        <v>-0.12500599999475526</v>
      </c>
      <c r="K30">
        <f>+G30</f>
        <v>-0.12500599999475526</v>
      </c>
      <c r="O30">
        <f t="shared" ca="1" si="3"/>
        <v>-0.12629900049106668</v>
      </c>
      <c r="Q30" s="2">
        <f t="shared" si="4"/>
        <v>38849.992680000003</v>
      </c>
      <c r="R30" t="s">
        <v>51</v>
      </c>
    </row>
    <row r="31" spans="1:18" x14ac:dyDescent="0.2">
      <c r="A31" s="56" t="s">
        <v>110</v>
      </c>
      <c r="B31" s="57" t="s">
        <v>30</v>
      </c>
      <c r="C31" s="56">
        <v>54338.489300000001</v>
      </c>
      <c r="D31" s="56" t="s">
        <v>59</v>
      </c>
      <c r="E31">
        <f t="shared" si="0"/>
        <v>26483.849416605452</v>
      </c>
      <c r="F31">
        <f t="shared" si="1"/>
        <v>26484</v>
      </c>
      <c r="G31">
        <f t="shared" si="2"/>
        <v>-0.13877599999977974</v>
      </c>
      <c r="K31">
        <f>+G31</f>
        <v>-0.13877599999977974</v>
      </c>
      <c r="O31">
        <f t="shared" ca="1" si="3"/>
        <v>-0.13361271532771768</v>
      </c>
      <c r="Q31" s="2">
        <f t="shared" si="4"/>
        <v>39319.989300000001</v>
      </c>
    </row>
    <row r="32" spans="1:18" x14ac:dyDescent="0.2">
      <c r="A32" s="36" t="s">
        <v>42</v>
      </c>
      <c r="B32" s="37" t="s">
        <v>43</v>
      </c>
      <c r="C32" s="38">
        <v>54841.215060000002</v>
      </c>
      <c r="D32" s="38">
        <v>4.0000000000000002E-4</v>
      </c>
      <c r="E32">
        <f t="shared" si="0"/>
        <v>27029.348288662302</v>
      </c>
      <c r="F32">
        <f t="shared" si="1"/>
        <v>27029.5</v>
      </c>
      <c r="G32">
        <f t="shared" si="2"/>
        <v>-0.13981549999152776</v>
      </c>
      <c r="K32">
        <f>+G32</f>
        <v>-0.13981549999152776</v>
      </c>
      <c r="O32">
        <f t="shared" ca="1" si="3"/>
        <v>-0.14143552207946886</v>
      </c>
      <c r="Q32" s="2">
        <f t="shared" si="4"/>
        <v>39822.715060000002</v>
      </c>
      <c r="R32" t="s">
        <v>51</v>
      </c>
    </row>
    <row r="33" spans="1:18" x14ac:dyDescent="0.2">
      <c r="A33" s="41" t="s">
        <v>48</v>
      </c>
      <c r="B33" s="41"/>
      <c r="C33" s="42">
        <v>55480.316700000003</v>
      </c>
      <c r="D33" s="42">
        <v>1.1000000000000001E-3</v>
      </c>
      <c r="E33">
        <f t="shared" si="0"/>
        <v>27722.826227309575</v>
      </c>
      <c r="F33">
        <f t="shared" si="1"/>
        <v>27723</v>
      </c>
      <c r="G33">
        <f t="shared" si="2"/>
        <v>-0.16014699999504955</v>
      </c>
      <c r="J33">
        <f>+G33</f>
        <v>-0.16014699999504955</v>
      </c>
      <c r="O33">
        <f t="shared" ca="1" si="3"/>
        <v>-0.15138074019558156</v>
      </c>
      <c r="Q33" s="2">
        <f t="shared" si="4"/>
        <v>40461.816700000003</v>
      </c>
      <c r="R33" t="s">
        <v>53</v>
      </c>
    </row>
    <row r="34" spans="1:18" x14ac:dyDescent="0.2">
      <c r="A34" s="56" t="s">
        <v>124</v>
      </c>
      <c r="B34" s="57" t="s">
        <v>30</v>
      </c>
      <c r="C34" s="56">
        <v>55807.484499999999</v>
      </c>
      <c r="D34" s="56" t="s">
        <v>59</v>
      </c>
      <c r="E34">
        <f t="shared" si="0"/>
        <v>28077.830247539845</v>
      </c>
      <c r="F34">
        <f t="shared" si="1"/>
        <v>28078</v>
      </c>
      <c r="G34">
        <f t="shared" si="2"/>
        <v>-0.15644199999951525</v>
      </c>
      <c r="K34">
        <f>+G34</f>
        <v>-0.15644199999951525</v>
      </c>
      <c r="O34">
        <f t="shared" ca="1" si="3"/>
        <v>-0.15647165934658369</v>
      </c>
      <c r="Q34" s="2">
        <f t="shared" si="4"/>
        <v>40788.984499999999</v>
      </c>
    </row>
    <row r="35" spans="1:18" x14ac:dyDescent="0.2">
      <c r="A35" s="39" t="s">
        <v>44</v>
      </c>
      <c r="B35" s="40" t="s">
        <v>30</v>
      </c>
      <c r="C35" s="39">
        <v>55875.682500000003</v>
      </c>
      <c r="D35" s="39">
        <v>2.9999999999999997E-4</v>
      </c>
      <c r="E35">
        <f t="shared" si="0"/>
        <v>28151.830696763962</v>
      </c>
      <c r="F35">
        <f t="shared" si="1"/>
        <v>28152</v>
      </c>
      <c r="G35">
        <f t="shared" si="2"/>
        <v>-0.15602799999760464</v>
      </c>
      <c r="K35">
        <f>+G35</f>
        <v>-0.15602799999760464</v>
      </c>
      <c r="O35">
        <f t="shared" ca="1" si="3"/>
        <v>-0.15753286502876446</v>
      </c>
      <c r="Q35" s="2">
        <f t="shared" si="4"/>
        <v>40857.182500000003</v>
      </c>
      <c r="R35" t="s">
        <v>51</v>
      </c>
    </row>
    <row r="36" spans="1:18" x14ac:dyDescent="0.2">
      <c r="A36" s="30" t="s">
        <v>45</v>
      </c>
      <c r="B36" s="31" t="s">
        <v>30</v>
      </c>
      <c r="C36" s="32">
        <v>56158.608939999998</v>
      </c>
      <c r="D36" s="32">
        <v>1E-4</v>
      </c>
      <c r="E36">
        <f t="shared" si="0"/>
        <v>28458.829196095005</v>
      </c>
      <c r="F36">
        <f t="shared" si="1"/>
        <v>28459</v>
      </c>
      <c r="G36">
        <f t="shared" si="2"/>
        <v>-0.1574110000001383</v>
      </c>
      <c r="K36">
        <f>+G36</f>
        <v>-0.1574110000001383</v>
      </c>
      <c r="O36">
        <f t="shared" ca="1" si="3"/>
        <v>-0.16193543454808179</v>
      </c>
      <c r="Q36" s="2">
        <f t="shared" si="4"/>
        <v>41140.108939999998</v>
      </c>
      <c r="R36" t="s">
        <v>51</v>
      </c>
    </row>
    <row r="37" spans="1:18" x14ac:dyDescent="0.2">
      <c r="D37" s="5"/>
    </row>
    <row r="38" spans="1:18" x14ac:dyDescent="0.2">
      <c r="D38" s="5"/>
    </row>
    <row r="39" spans="1:18" x14ac:dyDescent="0.2">
      <c r="D39" s="5"/>
    </row>
    <row r="40" spans="1:18" x14ac:dyDescent="0.2">
      <c r="D40" s="5"/>
    </row>
    <row r="41" spans="1:18" x14ac:dyDescent="0.2">
      <c r="D41" s="5"/>
    </row>
    <row r="42" spans="1:18" x14ac:dyDescent="0.2">
      <c r="D42" s="5"/>
    </row>
    <row r="43" spans="1:18" x14ac:dyDescent="0.2">
      <c r="D43" s="5"/>
    </row>
    <row r="44" spans="1:18" x14ac:dyDescent="0.2">
      <c r="D44" s="5"/>
    </row>
    <row r="45" spans="1:18" x14ac:dyDescent="0.2">
      <c r="D45" s="5"/>
    </row>
    <row r="46" spans="1:18" x14ac:dyDescent="0.2">
      <c r="D46" s="5"/>
    </row>
    <row r="47" spans="1:18" x14ac:dyDescent="0.2">
      <c r="D47" s="5"/>
    </row>
    <row r="48" spans="1:18" x14ac:dyDescent="0.2">
      <c r="D48" s="5"/>
    </row>
    <row r="49" spans="4:4" x14ac:dyDescent="0.2">
      <c r="D49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topLeftCell="A5" workbookViewId="0">
      <selection activeCell="A19" sqref="A19:D25"/>
    </sheetView>
  </sheetViews>
  <sheetFormatPr defaultRowHeight="12.75" x14ac:dyDescent="0.2"/>
  <cols>
    <col min="1" max="1" width="19.7109375" style="29" customWidth="1"/>
    <col min="2" max="2" width="4.42578125" style="10" customWidth="1"/>
    <col min="3" max="3" width="12.7109375" style="2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49</v>
      </c>
      <c r="I1" s="44" t="s">
        <v>50</v>
      </c>
      <c r="J1" s="45" t="s">
        <v>51</v>
      </c>
    </row>
    <row r="2" spans="1:16" x14ac:dyDescent="0.2">
      <c r="I2" s="46" t="s">
        <v>52</v>
      </c>
      <c r="J2" s="47" t="s">
        <v>53</v>
      </c>
    </row>
    <row r="3" spans="1:16" x14ac:dyDescent="0.2">
      <c r="A3" s="48" t="s">
        <v>54</v>
      </c>
      <c r="I3" s="46" t="s">
        <v>55</v>
      </c>
      <c r="J3" s="47" t="s">
        <v>56</v>
      </c>
    </row>
    <row r="4" spans="1:16" x14ac:dyDescent="0.2">
      <c r="I4" s="46" t="s">
        <v>57</v>
      </c>
      <c r="J4" s="47" t="s">
        <v>56</v>
      </c>
    </row>
    <row r="5" spans="1:16" ht="13.5" thickBot="1" x14ac:dyDescent="0.25">
      <c r="I5" s="49" t="s">
        <v>58</v>
      </c>
      <c r="J5" s="50" t="s">
        <v>59</v>
      </c>
    </row>
    <row r="10" spans="1:16" ht="13.5" thickBot="1" x14ac:dyDescent="0.25"/>
    <row r="11" spans="1:16" ht="12.75" customHeight="1" thickBot="1" x14ac:dyDescent="0.25">
      <c r="A11" s="29" t="str">
        <f t="shared" ref="A11:A25" si="0">P11</f>
        <v>IBVS 4888 </v>
      </c>
      <c r="B11" s="5" t="str">
        <f t="shared" ref="B11:B25" si="1">IF(H11=INT(H11),"I","II")</f>
        <v>I</v>
      </c>
      <c r="C11" s="29">
        <f t="shared" ref="C11:C25" si="2">1*G11</f>
        <v>50943.419399999999</v>
      </c>
      <c r="D11" s="10" t="str">
        <f t="shared" ref="D11:D25" si="3">VLOOKUP(F11,I$1:J$5,2,FALSE)</f>
        <v>vis</v>
      </c>
      <c r="E11" s="51">
        <f>VLOOKUP(C11,Active!C$21:E$970,3,FALSE)</f>
        <v>22799.918835836797</v>
      </c>
      <c r="F11" s="5" t="s">
        <v>58</v>
      </c>
      <c r="G11" s="10" t="str">
        <f t="shared" ref="G11:G25" si="4">MID(I11,3,LEN(I11)-3)</f>
        <v>50943.4194</v>
      </c>
      <c r="H11" s="29">
        <f t="shared" ref="H11:H25" si="5">1*K11</f>
        <v>22800</v>
      </c>
      <c r="I11" s="52" t="s">
        <v>60</v>
      </c>
      <c r="J11" s="53" t="s">
        <v>61</v>
      </c>
      <c r="K11" s="52">
        <v>22800</v>
      </c>
      <c r="L11" s="52" t="s">
        <v>62</v>
      </c>
      <c r="M11" s="53" t="s">
        <v>63</v>
      </c>
      <c r="N11" s="53" t="s">
        <v>64</v>
      </c>
      <c r="O11" s="54" t="s">
        <v>65</v>
      </c>
      <c r="P11" s="55" t="s">
        <v>66</v>
      </c>
    </row>
    <row r="12" spans="1:16" ht="12.75" customHeight="1" thickBot="1" x14ac:dyDescent="0.25">
      <c r="A12" s="29" t="str">
        <f t="shared" si="0"/>
        <v>IBVS 5263 </v>
      </c>
      <c r="B12" s="5" t="str">
        <f t="shared" si="1"/>
        <v>I</v>
      </c>
      <c r="C12" s="29">
        <f t="shared" si="2"/>
        <v>51331.397400000002</v>
      </c>
      <c r="D12" s="10" t="str">
        <f t="shared" si="3"/>
        <v>vis</v>
      </c>
      <c r="E12" s="51">
        <f>VLOOKUP(C12,Active!C$21:E$970,3,FALSE)</f>
        <v>23220.906933568003</v>
      </c>
      <c r="F12" s="5" t="s">
        <v>58</v>
      </c>
      <c r="G12" s="10" t="str">
        <f t="shared" si="4"/>
        <v>51331.3974</v>
      </c>
      <c r="H12" s="29">
        <f t="shared" si="5"/>
        <v>23221</v>
      </c>
      <c r="I12" s="52" t="s">
        <v>67</v>
      </c>
      <c r="J12" s="53" t="s">
        <v>68</v>
      </c>
      <c r="K12" s="52">
        <v>23221</v>
      </c>
      <c r="L12" s="52" t="s">
        <v>69</v>
      </c>
      <c r="M12" s="53" t="s">
        <v>63</v>
      </c>
      <c r="N12" s="53" t="s">
        <v>64</v>
      </c>
      <c r="O12" s="54" t="s">
        <v>70</v>
      </c>
      <c r="P12" s="55" t="s">
        <v>71</v>
      </c>
    </row>
    <row r="13" spans="1:16" ht="12.75" customHeight="1" thickBot="1" x14ac:dyDescent="0.25">
      <c r="A13" s="29" t="str">
        <f t="shared" si="0"/>
        <v>IBVS 5287 </v>
      </c>
      <c r="B13" s="5" t="str">
        <f t="shared" si="1"/>
        <v>I</v>
      </c>
      <c r="C13" s="29">
        <f t="shared" si="2"/>
        <v>51848.393900000003</v>
      </c>
      <c r="D13" s="10" t="str">
        <f t="shared" si="3"/>
        <v>vis</v>
      </c>
      <c r="E13" s="51">
        <f>VLOOKUP(C13,Active!C$21:E$970,3,FALSE)</f>
        <v>23781.890734372919</v>
      </c>
      <c r="F13" s="5" t="s">
        <v>58</v>
      </c>
      <c r="G13" s="10" t="str">
        <f t="shared" si="4"/>
        <v>51848.3939</v>
      </c>
      <c r="H13" s="29">
        <f t="shared" si="5"/>
        <v>23782</v>
      </c>
      <c r="I13" s="52" t="s">
        <v>72</v>
      </c>
      <c r="J13" s="53" t="s">
        <v>73</v>
      </c>
      <c r="K13" s="52">
        <v>23782</v>
      </c>
      <c r="L13" s="52" t="s">
        <v>74</v>
      </c>
      <c r="M13" s="53" t="s">
        <v>63</v>
      </c>
      <c r="N13" s="53" t="s">
        <v>64</v>
      </c>
      <c r="O13" s="54" t="s">
        <v>65</v>
      </c>
      <c r="P13" s="55" t="s">
        <v>75</v>
      </c>
    </row>
    <row r="14" spans="1:16" ht="12.75" customHeight="1" thickBot="1" x14ac:dyDescent="0.25">
      <c r="A14" s="29" t="str">
        <f t="shared" si="0"/>
        <v>BAVM 178 </v>
      </c>
      <c r="B14" s="5" t="str">
        <f t="shared" si="1"/>
        <v>I</v>
      </c>
      <c r="C14" s="29">
        <f t="shared" si="2"/>
        <v>53635.337</v>
      </c>
      <c r="D14" s="10" t="str">
        <f t="shared" si="3"/>
        <v>vis</v>
      </c>
      <c r="E14" s="51">
        <f>VLOOKUP(C14,Active!C$21:E$970,3,FALSE)</f>
        <v>25720.871234357182</v>
      </c>
      <c r="F14" s="5" t="s">
        <v>58</v>
      </c>
      <c r="G14" s="10" t="str">
        <f t="shared" si="4"/>
        <v>53635.3370</v>
      </c>
      <c r="H14" s="29">
        <f t="shared" si="5"/>
        <v>25721</v>
      </c>
      <c r="I14" s="52" t="s">
        <v>93</v>
      </c>
      <c r="J14" s="53" t="s">
        <v>94</v>
      </c>
      <c r="K14" s="52">
        <v>25721</v>
      </c>
      <c r="L14" s="52" t="s">
        <v>95</v>
      </c>
      <c r="M14" s="53" t="s">
        <v>89</v>
      </c>
      <c r="N14" s="53" t="s">
        <v>96</v>
      </c>
      <c r="O14" s="54" t="s">
        <v>97</v>
      </c>
      <c r="P14" s="55" t="s">
        <v>98</v>
      </c>
    </row>
    <row r="15" spans="1:16" ht="12.75" customHeight="1" thickBot="1" x14ac:dyDescent="0.25">
      <c r="A15" s="29" t="str">
        <f t="shared" si="0"/>
        <v>BAVM 178 </v>
      </c>
      <c r="B15" s="5" t="str">
        <f t="shared" si="1"/>
        <v>I</v>
      </c>
      <c r="C15" s="29">
        <f t="shared" si="2"/>
        <v>53671.277199999997</v>
      </c>
      <c r="D15" s="10" t="str">
        <f t="shared" si="3"/>
        <v>vis</v>
      </c>
      <c r="E15" s="51">
        <f>VLOOKUP(C15,Active!C$21:E$970,3,FALSE)</f>
        <v>25759.869312676256</v>
      </c>
      <c r="F15" s="5" t="s">
        <v>58</v>
      </c>
      <c r="G15" s="10" t="str">
        <f t="shared" si="4"/>
        <v>53671.2772</v>
      </c>
      <c r="H15" s="29">
        <f t="shared" si="5"/>
        <v>25760</v>
      </c>
      <c r="I15" s="52" t="s">
        <v>99</v>
      </c>
      <c r="J15" s="53" t="s">
        <v>100</v>
      </c>
      <c r="K15" s="52">
        <v>25760</v>
      </c>
      <c r="L15" s="52" t="s">
        <v>101</v>
      </c>
      <c r="M15" s="53" t="s">
        <v>89</v>
      </c>
      <c r="N15" s="53" t="s">
        <v>96</v>
      </c>
      <c r="O15" s="54" t="s">
        <v>97</v>
      </c>
      <c r="P15" s="55" t="s">
        <v>98</v>
      </c>
    </row>
    <row r="16" spans="1:16" ht="12.75" customHeight="1" thickBot="1" x14ac:dyDescent="0.25">
      <c r="A16" s="29" t="str">
        <f t="shared" si="0"/>
        <v>BAVM 215 </v>
      </c>
      <c r="B16" s="5" t="str">
        <f t="shared" si="1"/>
        <v>I</v>
      </c>
      <c r="C16" s="29">
        <f t="shared" si="2"/>
        <v>55480.316700000003</v>
      </c>
      <c r="D16" s="10" t="str">
        <f t="shared" si="3"/>
        <v>vis</v>
      </c>
      <c r="E16" s="51">
        <f>VLOOKUP(C16,Active!C$21:E$970,3,FALSE)</f>
        <v>27722.826227309575</v>
      </c>
      <c r="F16" s="5" t="s">
        <v>58</v>
      </c>
      <c r="G16" s="10" t="str">
        <f t="shared" si="4"/>
        <v>55480.3167</v>
      </c>
      <c r="H16" s="29">
        <f t="shared" si="5"/>
        <v>27723</v>
      </c>
      <c r="I16" s="52" t="s">
        <v>115</v>
      </c>
      <c r="J16" s="53" t="s">
        <v>116</v>
      </c>
      <c r="K16" s="52" t="s">
        <v>117</v>
      </c>
      <c r="L16" s="52" t="s">
        <v>118</v>
      </c>
      <c r="M16" s="53" t="s">
        <v>89</v>
      </c>
      <c r="N16" s="53" t="s">
        <v>108</v>
      </c>
      <c r="O16" s="54" t="s">
        <v>109</v>
      </c>
      <c r="P16" s="55" t="s">
        <v>119</v>
      </c>
    </row>
    <row r="17" spans="1:16" ht="12.75" customHeight="1" thickBot="1" x14ac:dyDescent="0.25">
      <c r="A17" s="29" t="str">
        <f t="shared" si="0"/>
        <v>IBVS 6011 </v>
      </c>
      <c r="B17" s="5" t="str">
        <f t="shared" si="1"/>
        <v>I</v>
      </c>
      <c r="C17" s="29">
        <f t="shared" si="2"/>
        <v>55875.682500000003</v>
      </c>
      <c r="D17" s="10" t="str">
        <f t="shared" si="3"/>
        <v>vis</v>
      </c>
      <c r="E17" s="51">
        <f>VLOOKUP(C17,Active!C$21:E$970,3,FALSE)</f>
        <v>28151.830696763962</v>
      </c>
      <c r="F17" s="5" t="s">
        <v>58</v>
      </c>
      <c r="G17" s="10" t="str">
        <f t="shared" si="4"/>
        <v>55875.6825</v>
      </c>
      <c r="H17" s="29">
        <f t="shared" si="5"/>
        <v>28152</v>
      </c>
      <c r="I17" s="52" t="s">
        <v>125</v>
      </c>
      <c r="J17" s="53" t="s">
        <v>126</v>
      </c>
      <c r="K17" s="52" t="s">
        <v>127</v>
      </c>
      <c r="L17" s="52" t="s">
        <v>128</v>
      </c>
      <c r="M17" s="53" t="s">
        <v>89</v>
      </c>
      <c r="N17" s="53" t="s">
        <v>129</v>
      </c>
      <c r="O17" s="54" t="s">
        <v>79</v>
      </c>
      <c r="P17" s="55" t="s">
        <v>130</v>
      </c>
    </row>
    <row r="18" spans="1:16" ht="12.75" customHeight="1" thickBot="1" x14ac:dyDescent="0.25">
      <c r="A18" s="29" t="str">
        <f t="shared" si="0"/>
        <v>OEJV 0160 </v>
      </c>
      <c r="B18" s="5" t="str">
        <f t="shared" si="1"/>
        <v>I</v>
      </c>
      <c r="C18" s="29">
        <f t="shared" si="2"/>
        <v>56158.608939999998</v>
      </c>
      <c r="D18" s="10" t="str">
        <f t="shared" si="3"/>
        <v>vis</v>
      </c>
      <c r="E18" s="51">
        <f>VLOOKUP(C18,Active!C$21:E$970,3,FALSE)</f>
        <v>28458.829196095005</v>
      </c>
      <c r="F18" s="5" t="s">
        <v>58</v>
      </c>
      <c r="G18" s="10" t="str">
        <f t="shared" si="4"/>
        <v>56158.60894</v>
      </c>
      <c r="H18" s="29">
        <f t="shared" si="5"/>
        <v>28459</v>
      </c>
      <c r="I18" s="52" t="s">
        <v>131</v>
      </c>
      <c r="J18" s="53" t="s">
        <v>132</v>
      </c>
      <c r="K18" s="52" t="s">
        <v>133</v>
      </c>
      <c r="L18" s="52" t="s">
        <v>134</v>
      </c>
      <c r="M18" s="53" t="s">
        <v>89</v>
      </c>
      <c r="N18" s="53" t="s">
        <v>50</v>
      </c>
      <c r="O18" s="54" t="s">
        <v>135</v>
      </c>
      <c r="P18" s="55" t="s">
        <v>136</v>
      </c>
    </row>
    <row r="19" spans="1:16" ht="12.75" customHeight="1" thickBot="1" x14ac:dyDescent="0.25">
      <c r="A19" s="29" t="str">
        <f t="shared" si="0"/>
        <v> BBS 124 </v>
      </c>
      <c r="B19" s="5" t="str">
        <f t="shared" si="1"/>
        <v>II</v>
      </c>
      <c r="C19" s="29">
        <f t="shared" si="2"/>
        <v>51902.305</v>
      </c>
      <c r="D19" s="10" t="str">
        <f t="shared" si="3"/>
        <v>vis</v>
      </c>
      <c r="E19" s="51">
        <f>VLOOKUP(C19,Active!C$21:E$970,3,FALSE)</f>
        <v>23840.38871991745</v>
      </c>
      <c r="F19" s="5" t="s">
        <v>58</v>
      </c>
      <c r="G19" s="10" t="str">
        <f t="shared" si="4"/>
        <v>51902.305</v>
      </c>
      <c r="H19" s="29">
        <f t="shared" si="5"/>
        <v>23840.5</v>
      </c>
      <c r="I19" s="52" t="s">
        <v>76</v>
      </c>
      <c r="J19" s="53" t="s">
        <v>77</v>
      </c>
      <c r="K19" s="52">
        <v>23840.5</v>
      </c>
      <c r="L19" s="52" t="s">
        <v>78</v>
      </c>
      <c r="M19" s="53" t="s">
        <v>63</v>
      </c>
      <c r="N19" s="53" t="s">
        <v>64</v>
      </c>
      <c r="O19" s="54" t="s">
        <v>79</v>
      </c>
      <c r="P19" s="54" t="s">
        <v>80</v>
      </c>
    </row>
    <row r="20" spans="1:16" ht="12.75" customHeight="1" thickBot="1" x14ac:dyDescent="0.25">
      <c r="A20" s="29" t="str">
        <f t="shared" si="0"/>
        <v> BBS 127 </v>
      </c>
      <c r="B20" s="5" t="str">
        <f t="shared" si="1"/>
        <v>I</v>
      </c>
      <c r="C20" s="29">
        <f t="shared" si="2"/>
        <v>52213.344100000002</v>
      </c>
      <c r="D20" s="10" t="str">
        <f t="shared" si="3"/>
        <v>vis</v>
      </c>
      <c r="E20" s="51">
        <f>VLOOKUP(C20,Active!C$21:E$970,3,FALSE)</f>
        <v>24177.891771711689</v>
      </c>
      <c r="F20" s="5" t="s">
        <v>58</v>
      </c>
      <c r="G20" s="10" t="str">
        <f t="shared" si="4"/>
        <v>52213.3441</v>
      </c>
      <c r="H20" s="29">
        <f t="shared" si="5"/>
        <v>24178</v>
      </c>
      <c r="I20" s="52" t="s">
        <v>81</v>
      </c>
      <c r="J20" s="53" t="s">
        <v>82</v>
      </c>
      <c r="K20" s="52">
        <v>24178</v>
      </c>
      <c r="L20" s="52" t="s">
        <v>83</v>
      </c>
      <c r="M20" s="53" t="s">
        <v>63</v>
      </c>
      <c r="N20" s="53" t="s">
        <v>64</v>
      </c>
      <c r="O20" s="54" t="s">
        <v>84</v>
      </c>
      <c r="P20" s="54" t="s">
        <v>85</v>
      </c>
    </row>
    <row r="21" spans="1:16" ht="12.75" customHeight="1" thickBot="1" x14ac:dyDescent="0.25">
      <c r="A21" s="29" t="str">
        <f t="shared" si="0"/>
        <v>OEJV 0107 </v>
      </c>
      <c r="B21" s="5" t="str">
        <f t="shared" si="1"/>
        <v>I</v>
      </c>
      <c r="C21" s="29">
        <f t="shared" si="2"/>
        <v>53622.434000000001</v>
      </c>
      <c r="D21" s="10" t="str">
        <f t="shared" si="3"/>
        <v>vis</v>
      </c>
      <c r="E21" s="51" t="e">
        <f>VLOOKUP(C21,Active!C$21:E$970,3,FALSE)</f>
        <v>#N/A</v>
      </c>
      <c r="F21" s="5" t="s">
        <v>58</v>
      </c>
      <c r="G21" s="10" t="str">
        <f t="shared" si="4"/>
        <v>53622.4340</v>
      </c>
      <c r="H21" s="29">
        <f t="shared" si="5"/>
        <v>25707</v>
      </c>
      <c r="I21" s="52" t="s">
        <v>86</v>
      </c>
      <c r="J21" s="53" t="s">
        <v>87</v>
      </c>
      <c r="K21" s="52">
        <v>25707</v>
      </c>
      <c r="L21" s="52" t="s">
        <v>88</v>
      </c>
      <c r="M21" s="53" t="s">
        <v>89</v>
      </c>
      <c r="N21" s="53" t="s">
        <v>90</v>
      </c>
      <c r="O21" s="54" t="s">
        <v>91</v>
      </c>
      <c r="P21" s="55" t="s">
        <v>92</v>
      </c>
    </row>
    <row r="22" spans="1:16" ht="12.75" customHeight="1" thickBot="1" x14ac:dyDescent="0.25">
      <c r="A22" s="29" t="str">
        <f t="shared" si="0"/>
        <v>OEJV 0107 </v>
      </c>
      <c r="B22" s="5" t="str">
        <f t="shared" si="1"/>
        <v>I</v>
      </c>
      <c r="C22" s="29">
        <f t="shared" si="2"/>
        <v>53868.492700000003</v>
      </c>
      <c r="D22" s="10" t="str">
        <f t="shared" si="3"/>
        <v>vis</v>
      </c>
      <c r="E22" s="51" t="e">
        <f>VLOOKUP(C22,Active!C$21:E$970,3,FALSE)</f>
        <v>#N/A</v>
      </c>
      <c r="F22" s="5" t="s">
        <v>58</v>
      </c>
      <c r="G22" s="10" t="str">
        <f t="shared" si="4"/>
        <v>53868.4927</v>
      </c>
      <c r="H22" s="29">
        <f t="shared" si="5"/>
        <v>25974</v>
      </c>
      <c r="I22" s="52" t="s">
        <v>102</v>
      </c>
      <c r="J22" s="53" t="s">
        <v>103</v>
      </c>
      <c r="K22" s="52">
        <v>25974</v>
      </c>
      <c r="L22" s="52" t="s">
        <v>104</v>
      </c>
      <c r="M22" s="53" t="s">
        <v>89</v>
      </c>
      <c r="N22" s="53" t="s">
        <v>90</v>
      </c>
      <c r="O22" s="54" t="s">
        <v>91</v>
      </c>
      <c r="P22" s="55" t="s">
        <v>92</v>
      </c>
    </row>
    <row r="23" spans="1:16" ht="12.75" customHeight="1" thickBot="1" x14ac:dyDescent="0.25">
      <c r="A23" s="29" t="str">
        <f t="shared" si="0"/>
        <v>BAVM 193 </v>
      </c>
      <c r="B23" s="5" t="str">
        <f t="shared" si="1"/>
        <v>I</v>
      </c>
      <c r="C23" s="29">
        <f t="shared" si="2"/>
        <v>54338.489300000001</v>
      </c>
      <c r="D23" s="10" t="str">
        <f t="shared" si="3"/>
        <v>vis</v>
      </c>
      <c r="E23" s="51">
        <f>VLOOKUP(C23,Active!C$21:E$970,3,FALSE)</f>
        <v>26483.849416605452</v>
      </c>
      <c r="F23" s="5" t="s">
        <v>58</v>
      </c>
      <c r="G23" s="10" t="str">
        <f t="shared" si="4"/>
        <v>54338.4893</v>
      </c>
      <c r="H23" s="29">
        <f t="shared" si="5"/>
        <v>26484</v>
      </c>
      <c r="I23" s="52" t="s">
        <v>105</v>
      </c>
      <c r="J23" s="53" t="s">
        <v>106</v>
      </c>
      <c r="K23" s="52">
        <v>26484</v>
      </c>
      <c r="L23" s="52" t="s">
        <v>107</v>
      </c>
      <c r="M23" s="53" t="s">
        <v>89</v>
      </c>
      <c r="N23" s="53" t="s">
        <v>108</v>
      </c>
      <c r="O23" s="54" t="s">
        <v>109</v>
      </c>
      <c r="P23" s="55" t="s">
        <v>110</v>
      </c>
    </row>
    <row r="24" spans="1:16" ht="12.75" customHeight="1" thickBot="1" x14ac:dyDescent="0.25">
      <c r="A24" s="29" t="str">
        <f t="shared" si="0"/>
        <v>OEJV 0107 </v>
      </c>
      <c r="B24" s="5" t="str">
        <f t="shared" si="1"/>
        <v>II</v>
      </c>
      <c r="C24" s="29">
        <f t="shared" si="2"/>
        <v>54841.215100000001</v>
      </c>
      <c r="D24" s="10" t="str">
        <f t="shared" si="3"/>
        <v>vis</v>
      </c>
      <c r="E24" s="51" t="e">
        <f>VLOOKUP(C24,Active!C$21:E$970,3,FALSE)</f>
        <v>#N/A</v>
      </c>
      <c r="F24" s="5" t="s">
        <v>58</v>
      </c>
      <c r="G24" s="10" t="str">
        <f t="shared" si="4"/>
        <v>54841.2151</v>
      </c>
      <c r="H24" s="29">
        <f t="shared" si="5"/>
        <v>27029.5</v>
      </c>
      <c r="I24" s="52" t="s">
        <v>111</v>
      </c>
      <c r="J24" s="53" t="s">
        <v>112</v>
      </c>
      <c r="K24" s="52" t="s">
        <v>113</v>
      </c>
      <c r="L24" s="52" t="s">
        <v>114</v>
      </c>
      <c r="M24" s="53" t="s">
        <v>89</v>
      </c>
      <c r="N24" s="53" t="s">
        <v>90</v>
      </c>
      <c r="O24" s="54" t="s">
        <v>91</v>
      </c>
      <c r="P24" s="55" t="s">
        <v>92</v>
      </c>
    </row>
    <row r="25" spans="1:16" ht="12.75" customHeight="1" thickBot="1" x14ac:dyDescent="0.25">
      <c r="A25" s="29" t="str">
        <f t="shared" si="0"/>
        <v>BAVM 225 </v>
      </c>
      <c r="B25" s="5" t="str">
        <f t="shared" si="1"/>
        <v>I</v>
      </c>
      <c r="C25" s="29">
        <f t="shared" si="2"/>
        <v>55807.484499999999</v>
      </c>
      <c r="D25" s="10" t="str">
        <f t="shared" si="3"/>
        <v>vis</v>
      </c>
      <c r="E25" s="51">
        <f>VLOOKUP(C25,Active!C$21:E$970,3,FALSE)</f>
        <v>28077.830247539845</v>
      </c>
      <c r="F25" s="5" t="s">
        <v>58</v>
      </c>
      <c r="G25" s="10" t="str">
        <f t="shared" si="4"/>
        <v>55807.4845</v>
      </c>
      <c r="H25" s="29">
        <f t="shared" si="5"/>
        <v>28078</v>
      </c>
      <c r="I25" s="52" t="s">
        <v>120</v>
      </c>
      <c r="J25" s="53" t="s">
        <v>121</v>
      </c>
      <c r="K25" s="52" t="s">
        <v>122</v>
      </c>
      <c r="L25" s="52" t="s">
        <v>123</v>
      </c>
      <c r="M25" s="53" t="s">
        <v>89</v>
      </c>
      <c r="N25" s="53" t="s">
        <v>108</v>
      </c>
      <c r="O25" s="54" t="s">
        <v>109</v>
      </c>
      <c r="P25" s="55" t="s">
        <v>124</v>
      </c>
    </row>
    <row r="26" spans="1:16" x14ac:dyDescent="0.2">
      <c r="B26" s="5"/>
      <c r="E26" s="51"/>
      <c r="F26" s="5"/>
    </row>
    <row r="27" spans="1:16" x14ac:dyDescent="0.2">
      <c r="B27" s="5"/>
      <c r="E27" s="51"/>
      <c r="F27" s="5"/>
    </row>
    <row r="28" spans="1:16" x14ac:dyDescent="0.2">
      <c r="B28" s="5"/>
      <c r="E28" s="51"/>
      <c r="F28" s="5"/>
    </row>
    <row r="29" spans="1:16" x14ac:dyDescent="0.2">
      <c r="B29" s="5"/>
      <c r="E29" s="51"/>
      <c r="F29" s="5"/>
    </row>
    <row r="30" spans="1:16" x14ac:dyDescent="0.2">
      <c r="B30" s="5"/>
      <c r="E30" s="51"/>
      <c r="F30" s="5"/>
    </row>
    <row r="31" spans="1:16" x14ac:dyDescent="0.2">
      <c r="B31" s="5"/>
      <c r="E31" s="51"/>
      <c r="F31" s="5"/>
    </row>
    <row r="32" spans="1:16" x14ac:dyDescent="0.2">
      <c r="B32" s="5"/>
      <c r="E32" s="51"/>
      <c r="F32" s="5"/>
    </row>
    <row r="33" spans="2:6" x14ac:dyDescent="0.2">
      <c r="B33" s="5"/>
      <c r="E33" s="51"/>
      <c r="F33" s="5"/>
    </row>
    <row r="34" spans="2:6" x14ac:dyDescent="0.2">
      <c r="B34" s="5"/>
      <c r="E34" s="51"/>
      <c r="F34" s="5"/>
    </row>
    <row r="35" spans="2:6" x14ac:dyDescent="0.2">
      <c r="B35" s="5"/>
      <c r="E35" s="51"/>
      <c r="F35" s="5"/>
    </row>
    <row r="36" spans="2:6" x14ac:dyDescent="0.2">
      <c r="B36" s="5"/>
      <c r="E36" s="51"/>
      <c r="F36" s="5"/>
    </row>
    <row r="37" spans="2:6" x14ac:dyDescent="0.2">
      <c r="B37" s="5"/>
      <c r="E37" s="51"/>
      <c r="F37" s="5"/>
    </row>
    <row r="38" spans="2:6" x14ac:dyDescent="0.2">
      <c r="B38" s="5"/>
      <c r="E38" s="51"/>
      <c r="F38" s="5"/>
    </row>
    <row r="39" spans="2:6" x14ac:dyDescent="0.2">
      <c r="B39" s="5"/>
      <c r="E39" s="51"/>
      <c r="F39" s="5"/>
    </row>
    <row r="40" spans="2:6" x14ac:dyDescent="0.2">
      <c r="B40" s="5"/>
      <c r="E40" s="51"/>
      <c r="F40" s="5"/>
    </row>
    <row r="41" spans="2:6" x14ac:dyDescent="0.2">
      <c r="B41" s="5"/>
      <c r="E41" s="51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</sheetData>
  <phoneticPr fontId="7" type="noConversion"/>
  <hyperlinks>
    <hyperlink ref="P11" r:id="rId1" display="http://www.konkoly.hu/cgi-bin/IBVS?4888"/>
    <hyperlink ref="P12" r:id="rId2" display="http://www.konkoly.hu/cgi-bin/IBVS?5263"/>
    <hyperlink ref="P13" r:id="rId3" display="http://www.konkoly.hu/cgi-bin/IBVS?5287"/>
    <hyperlink ref="P21" r:id="rId4" display="http://var.astro.cz/oejv/issues/oejv0107.pdf"/>
    <hyperlink ref="P14" r:id="rId5" display="http://www.bav-astro.de/sfs/BAVM_link.php?BAVMnr=178"/>
    <hyperlink ref="P15" r:id="rId6" display="http://www.bav-astro.de/sfs/BAVM_link.php?BAVMnr=178"/>
    <hyperlink ref="P22" r:id="rId7" display="http://var.astro.cz/oejv/issues/oejv0107.pdf"/>
    <hyperlink ref="P23" r:id="rId8" display="http://www.bav-astro.de/sfs/BAVM_link.php?BAVMnr=193"/>
    <hyperlink ref="P24" r:id="rId9" display="http://var.astro.cz/oejv/issues/oejv0107.pdf"/>
    <hyperlink ref="P16" r:id="rId10" display="http://www.bav-astro.de/sfs/BAVM_link.php?BAVMnr=215"/>
    <hyperlink ref="P25" r:id="rId11" display="http://www.bav-astro.de/sfs/BAVM_link.php?BAVMnr=225"/>
    <hyperlink ref="P17" r:id="rId12" display="http://www.konkoly.hu/cgi-bin/IBVS?6011"/>
    <hyperlink ref="P18" r:id="rId1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2024-01-23T03:28:16Z</dcterms:modified>
</cp:coreProperties>
</file>