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DF4DEC9-2DD6-4493-8ADF-EEC65117C2E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E32" i="1"/>
  <c r="F32" i="1"/>
  <c r="E41" i="1"/>
  <c r="F41" i="1"/>
  <c r="E50" i="1"/>
  <c r="F50" i="1"/>
  <c r="D9" i="1"/>
  <c r="C9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6" i="1"/>
  <c r="Q47" i="1"/>
  <c r="Q48" i="1"/>
  <c r="Q49" i="1"/>
  <c r="Q50" i="1"/>
  <c r="Q51" i="1"/>
  <c r="G17" i="2"/>
  <c r="C17" i="2"/>
  <c r="G16" i="2"/>
  <c r="C16" i="2"/>
  <c r="G15" i="2"/>
  <c r="C15" i="2"/>
  <c r="G14" i="2"/>
  <c r="C14" i="2"/>
  <c r="G45" i="2"/>
  <c r="C45" i="2"/>
  <c r="G44" i="2"/>
  <c r="C44" i="2"/>
  <c r="E44" i="2"/>
  <c r="G43" i="2"/>
  <c r="C43" i="2"/>
  <c r="G42" i="2"/>
  <c r="C42" i="2"/>
  <c r="G41" i="2"/>
  <c r="C41" i="2"/>
  <c r="G40" i="2"/>
  <c r="C40" i="2"/>
  <c r="G13" i="2"/>
  <c r="C13" i="2"/>
  <c r="G39" i="2"/>
  <c r="C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12" i="2"/>
  <c r="C12" i="2"/>
  <c r="G31" i="2"/>
  <c r="C31" i="2"/>
  <c r="G30" i="2"/>
  <c r="C30" i="2"/>
  <c r="G29" i="2"/>
  <c r="C29" i="2"/>
  <c r="G28" i="2"/>
  <c r="C28" i="2"/>
  <c r="E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E20" i="2"/>
  <c r="G19" i="2"/>
  <c r="C19" i="2"/>
  <c r="G11" i="2"/>
  <c r="C11" i="2"/>
  <c r="G18" i="2"/>
  <c r="C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13" i="2"/>
  <c r="B13" i="2"/>
  <c r="D13" i="2"/>
  <c r="A13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12" i="2"/>
  <c r="B12" i="2"/>
  <c r="D12" i="2"/>
  <c r="A1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1" i="2"/>
  <c r="B11" i="2"/>
  <c r="D11" i="2"/>
  <c r="A11" i="2"/>
  <c r="H18" i="2"/>
  <c r="B18" i="2"/>
  <c r="D18" i="2"/>
  <c r="A18" i="2"/>
  <c r="Q55" i="1"/>
  <c r="F16" i="1"/>
  <c r="F17" i="1" s="1"/>
  <c r="C17" i="1"/>
  <c r="Q53" i="1"/>
  <c r="Q54" i="1"/>
  <c r="Q52" i="1"/>
  <c r="Q36" i="1"/>
  <c r="Q45" i="1"/>
  <c r="C7" i="1"/>
  <c r="E21" i="1"/>
  <c r="F21" i="1"/>
  <c r="C8" i="1"/>
  <c r="Q22" i="1"/>
  <c r="E25" i="2"/>
  <c r="E41" i="2"/>
  <c r="E18" i="2"/>
  <c r="E32" i="2"/>
  <c r="E11" i="2"/>
  <c r="E16" i="2"/>
  <c r="E39" i="2"/>
  <c r="E13" i="2"/>
  <c r="E24" i="2"/>
  <c r="E22" i="1"/>
  <c r="F22" i="1"/>
  <c r="E54" i="1"/>
  <c r="F54" i="1"/>
  <c r="E47" i="1"/>
  <c r="F47" i="1"/>
  <c r="G47" i="1"/>
  <c r="J47" i="1"/>
  <c r="G40" i="1"/>
  <c r="I40" i="1"/>
  <c r="E38" i="1"/>
  <c r="F38" i="1"/>
  <c r="G38" i="1"/>
  <c r="I38" i="1"/>
  <c r="E29" i="1"/>
  <c r="F29" i="1"/>
  <c r="E36" i="1"/>
  <c r="F36" i="1"/>
  <c r="G36" i="1"/>
  <c r="I36" i="1"/>
  <c r="G46" i="1"/>
  <c r="J46" i="1"/>
  <c r="E43" i="1"/>
  <c r="F43" i="1"/>
  <c r="G43" i="1"/>
  <c r="I43" i="1"/>
  <c r="E34" i="1"/>
  <c r="E26" i="1"/>
  <c r="E45" i="1"/>
  <c r="F45" i="1"/>
  <c r="E49" i="1"/>
  <c r="F49" i="1"/>
  <c r="G49" i="1"/>
  <c r="I49" i="1"/>
  <c r="E40" i="1"/>
  <c r="F40" i="1"/>
  <c r="E31" i="1"/>
  <c r="F31" i="1"/>
  <c r="G31" i="1"/>
  <c r="I31" i="1"/>
  <c r="E23" i="1"/>
  <c r="F23" i="1"/>
  <c r="G23" i="1"/>
  <c r="I23" i="1"/>
  <c r="E53" i="1"/>
  <c r="F53" i="1"/>
  <c r="G53" i="1"/>
  <c r="J53" i="1"/>
  <c r="E46" i="1"/>
  <c r="F46" i="1"/>
  <c r="E37" i="1"/>
  <c r="F37" i="1"/>
  <c r="G37" i="1"/>
  <c r="I37" i="1"/>
  <c r="E28" i="1"/>
  <c r="F28" i="1"/>
  <c r="G28" i="1"/>
  <c r="I28" i="1"/>
  <c r="G52" i="1"/>
  <c r="K52" i="1"/>
  <c r="E51" i="1"/>
  <c r="F51" i="1"/>
  <c r="G51" i="1"/>
  <c r="I51" i="1"/>
  <c r="E42" i="1"/>
  <c r="E33" i="1"/>
  <c r="F33" i="1"/>
  <c r="G33" i="1"/>
  <c r="I33" i="1"/>
  <c r="E25" i="1"/>
  <c r="F25" i="1"/>
  <c r="G25" i="1"/>
  <c r="I25" i="1"/>
  <c r="G21" i="1"/>
  <c r="E55" i="1"/>
  <c r="F55" i="1"/>
  <c r="G55" i="1"/>
  <c r="J55" i="1"/>
  <c r="G50" i="1"/>
  <c r="J50" i="1"/>
  <c r="E48" i="1"/>
  <c r="F48" i="1"/>
  <c r="G48" i="1"/>
  <c r="J48" i="1"/>
  <c r="G41" i="1"/>
  <c r="I41" i="1"/>
  <c r="E39" i="1"/>
  <c r="F39" i="1"/>
  <c r="G39" i="1"/>
  <c r="I39" i="1"/>
  <c r="G32" i="1"/>
  <c r="I32" i="1"/>
  <c r="E30" i="1"/>
  <c r="F30" i="1"/>
  <c r="U30" i="1"/>
  <c r="G24" i="1"/>
  <c r="I24" i="1"/>
  <c r="G54" i="1"/>
  <c r="J54" i="1"/>
  <c r="E52" i="1"/>
  <c r="F52" i="1"/>
  <c r="E44" i="1"/>
  <c r="F44" i="1"/>
  <c r="G44" i="1"/>
  <c r="I44" i="1"/>
  <c r="E35" i="1"/>
  <c r="F35" i="1"/>
  <c r="G35" i="1"/>
  <c r="I35" i="1"/>
  <c r="G29" i="1"/>
  <c r="I29" i="1"/>
  <c r="E27" i="1"/>
  <c r="F27" i="1"/>
  <c r="G27" i="1"/>
  <c r="I27" i="1"/>
  <c r="E23" i="2"/>
  <c r="E33" i="2"/>
  <c r="E22" i="2"/>
  <c r="F26" i="1"/>
  <c r="G26" i="1"/>
  <c r="E34" i="2"/>
  <c r="E29" i="2"/>
  <c r="E14" i="2"/>
  <c r="E30" i="2"/>
  <c r="F34" i="1"/>
  <c r="G34" i="1"/>
  <c r="I34" i="1"/>
  <c r="E40" i="2"/>
  <c r="E17" i="2"/>
  <c r="E15" i="2"/>
  <c r="E12" i="2"/>
  <c r="I21" i="1"/>
  <c r="E31" i="2"/>
  <c r="F42" i="1"/>
  <c r="G42" i="1"/>
  <c r="I42" i="1"/>
  <c r="E37" i="2"/>
  <c r="E35" i="2"/>
  <c r="E43" i="2"/>
  <c r="E42" i="2"/>
  <c r="E27" i="2"/>
  <c r="E26" i="2"/>
  <c r="E38" i="2"/>
  <c r="E21" i="2"/>
  <c r="E45" i="2"/>
  <c r="E19" i="2"/>
  <c r="I26" i="1"/>
  <c r="C12" i="1"/>
  <c r="C11" i="1"/>
  <c r="O32" i="1" l="1"/>
  <c r="O30" i="1"/>
  <c r="O51" i="1"/>
  <c r="O31" i="1"/>
  <c r="O25" i="1"/>
  <c r="O35" i="1"/>
  <c r="O52" i="1"/>
  <c r="O26" i="1"/>
  <c r="O41" i="1"/>
  <c r="O39" i="1"/>
  <c r="O55" i="1"/>
  <c r="O40" i="1"/>
  <c r="O33" i="1"/>
  <c r="O38" i="1"/>
  <c r="O50" i="1"/>
  <c r="O48" i="1"/>
  <c r="O49" i="1"/>
  <c r="O53" i="1"/>
  <c r="O47" i="1"/>
  <c r="O45" i="1"/>
  <c r="O54" i="1"/>
  <c r="O37" i="1"/>
  <c r="O23" i="1"/>
  <c r="O21" i="1"/>
  <c r="O36" i="1"/>
  <c r="C15" i="1"/>
  <c r="F18" i="1" s="1"/>
  <c r="O24" i="1"/>
  <c r="O34" i="1"/>
  <c r="O46" i="1"/>
  <c r="O22" i="1"/>
  <c r="O43" i="1"/>
  <c r="O29" i="1"/>
  <c r="O27" i="1"/>
  <c r="O42" i="1"/>
  <c r="O28" i="1"/>
  <c r="O44" i="1"/>
  <c r="C16" i="1"/>
  <c r="D18" i="1" s="1"/>
  <c r="F19" i="1" l="1"/>
  <c r="C18" i="1"/>
</calcChain>
</file>

<file path=xl/sharedStrings.xml><?xml version="1.0" encoding="utf-8"?>
<sst xmlns="http://schemas.openxmlformats.org/spreadsheetml/2006/main" count="407" uniqueCount="204">
  <si>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</si>
  <si>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</si>
  <si>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</si>
  <si>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</si>
  <si>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</si>
  <si>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</si>
  <si>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</si>
  <si>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</si>
  <si>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</si>
  <si>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</si>
  <si>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</si>
  <si>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</si>
  <si>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</si>
  <si>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</si>
  <si>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</si>
  <si>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</si>
  <si>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</si>
  <si>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</si>
  <si>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</si>
  <si>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</si>
  <si>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</si>
  <si>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</si>
  <si>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</si>
  <si>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</si>
  <si>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</si>
  <si>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</si>
  <si>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</si>
  <si>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</si>
  <si>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</si>
  <si>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Bull.38</t>
  </si>
  <si>
    <t>B</t>
  </si>
  <si>
    <t>Vandenbroere J</t>
  </si>
  <si>
    <t>BBSAG Bull.96</t>
  </si>
  <si>
    <t>IBVS 5543</t>
  </si>
  <si>
    <t>I</t>
  </si>
  <si>
    <t>EA</t>
  </si>
  <si>
    <t># of data points:</t>
  </si>
  <si>
    <t>NU Cep / gsc 4249-1763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</si>
  <si>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</si>
  <si>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</si>
  <si>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</si>
  <si>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</si>
  <si>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</si>
  <si>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</si>
  <si>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</si>
  <si>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</si>
  <si>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Add cycle</t>
  </si>
  <si>
    <t>Old Cycle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</si>
  <si>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</si>
  <si>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</si>
  <si>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</si>
  <si>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</si>
  <si>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</si>
  <si>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</si>
  <si>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</si>
  <si>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</si>
  <si>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</si>
  <si>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</si>
  <si>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</si>
  <si>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</si>
  <si>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</si>
  <si>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2429607.337 </t>
  </si>
  <si>
    <t> 09.12.1939 20:05 </t>
  </si>
  <si>
    <t> -0.036 </t>
  </si>
  <si>
    <t>P </t>
  </si>
  <si>
    <t> A.A.Wachmann </t>
  </si>
  <si>
    <t>IBVS 749 </t>
  </si>
  <si>
    <t>2430633.378 </t>
  </si>
  <si>
    <t> 30.09.1942 21:04 </t>
  </si>
  <si>
    <t> 0.000 </t>
  </si>
  <si>
    <t>2430698.231 </t>
  </si>
  <si>
    <t> 04.12.1942 17:32 </t>
  </si>
  <si>
    <t> 0.105 </t>
  </si>
  <si>
    <t>2436764.531 </t>
  </si>
  <si>
    <t> 15.07.1959 00:44 </t>
  </si>
  <si>
    <t> 0.028 </t>
  </si>
  <si>
    <t> H.Busch </t>
  </si>
  <si>
    <t> MHAR 6.5 </t>
  </si>
  <si>
    <t>2437546.467 </t>
  </si>
  <si>
    <t> 03.09.1961 23:12 </t>
  </si>
  <si>
    <t> 0.009 </t>
  </si>
  <si>
    <t>2438318.496 </t>
  </si>
  <si>
    <t> 15.10.1963 23:54 </t>
  </si>
  <si>
    <t> 0.044 </t>
  </si>
  <si>
    <t>2438323.414 </t>
  </si>
  <si>
    <t> 20.10.1963 21:56 </t>
  </si>
  <si>
    <t> -0.018 </t>
  </si>
  <si>
    <t>2438348.386 </t>
  </si>
  <si>
    <t> 14.11.1963 21:15 </t>
  </si>
  <si>
    <t> 0.051 </t>
  </si>
  <si>
    <t>2438557.506 </t>
  </si>
  <si>
    <t> 11.06.1964 00:08 </t>
  </si>
  <si>
    <t> -0.015 </t>
  </si>
  <si>
    <t>2439346.457 </t>
  </si>
  <si>
    <t> 08.08.1966 22:58 </t>
  </si>
  <si>
    <t> -0.489 </t>
  </si>
  <si>
    <t>2440101.511 </t>
  </si>
  <si>
    <t> 02.09.1968 00:15 </t>
  </si>
  <si>
    <t> 0.003 </t>
  </si>
  <si>
    <t>2441904.508 </t>
  </si>
  <si>
    <t> 10.08.1973 00:11 </t>
  </si>
  <si>
    <t> 0.021 </t>
  </si>
  <si>
    <t>V </t>
  </si>
  <si>
    <t> R.Diethelm </t>
  </si>
  <si>
    <t> BBS 11 </t>
  </si>
  <si>
    <t>2442158.504 </t>
  </si>
  <si>
    <t> 21.04.1974 00:05 </t>
  </si>
  <si>
    <t> 0.006 </t>
  </si>
  <si>
    <t> K.Locher </t>
  </si>
  <si>
    <t> BBS 15 </t>
  </si>
  <si>
    <t>2442183.441 </t>
  </si>
  <si>
    <t> 15.05.1974 22:35 </t>
  </si>
  <si>
    <t> 0.040 </t>
  </si>
  <si>
    <t>2442193.410 </t>
  </si>
  <si>
    <t> 25.05.1974 21:50 </t>
  </si>
  <si>
    <t> 0.048 </t>
  </si>
  <si>
    <t>2443712.476 </t>
  </si>
  <si>
    <t> 22.07.1978 23:25 </t>
  </si>
  <si>
    <t> 0.029 </t>
  </si>
  <si>
    <t> BBS 38 </t>
  </si>
  <si>
    <t>2446292.397 </t>
  </si>
  <si>
    <t> 14.08.1985 21:31 </t>
  </si>
  <si>
    <t> M.Danes </t>
  </si>
  <si>
    <t> BRNO 27 </t>
  </si>
  <si>
    <t>2446292.399 </t>
  </si>
  <si>
    <t> 14.08.1985 21:34 </t>
  </si>
  <si>
    <t> -0.001 </t>
  </si>
  <si>
    <t> P.Kubicek </t>
  </si>
  <si>
    <t>2446292.415 </t>
  </si>
  <si>
    <t> 14.08.1985 21:57 </t>
  </si>
  <si>
    <t> 0.015 </t>
  </si>
  <si>
    <t> P.Neugebauer </t>
  </si>
  <si>
    <t>2446292.416 </t>
  </si>
  <si>
    <t> 14.08.1985 21:59 </t>
  </si>
  <si>
    <t> 0.016 </t>
  </si>
  <si>
    <t> A.Slatinsky </t>
  </si>
  <si>
    <t>2446292.420 </t>
  </si>
  <si>
    <t> 14.08.1985 22:04 </t>
  </si>
  <si>
    <t> 0.020 </t>
  </si>
  <si>
    <t> M.Zejda </t>
  </si>
  <si>
    <t>2446292.422 </t>
  </si>
  <si>
    <t> 14.08.1985 22:07 </t>
  </si>
  <si>
    <t> 0.022 </t>
  </si>
  <si>
    <t> J.Borovicka </t>
  </si>
  <si>
    <t>2446292.426 </t>
  </si>
  <si>
    <t> 14.08.1985 22:13 </t>
  </si>
  <si>
    <t> 0.026 </t>
  </si>
  <si>
    <t> P.Troubil </t>
  </si>
  <si>
    <t>2446292.428 </t>
  </si>
  <si>
    <t> 14.08.1985 22:16 </t>
  </si>
  <si>
    <t> V.Wagner </t>
  </si>
  <si>
    <t>2448085.508 </t>
  </si>
  <si>
    <t> 13.07.1990 00:11 </t>
  </si>
  <si>
    <t> 0.090 </t>
  </si>
  <si>
    <t> J.Vandenbroere </t>
  </si>
  <si>
    <t> BBS 96 </t>
  </si>
  <si>
    <t>2450665.3997 </t>
  </si>
  <si>
    <t> 04.08.1997 21:35 </t>
  </si>
  <si>
    <t> 0.0284 </t>
  </si>
  <si>
    <t> J.Gozdal </t>
  </si>
  <si>
    <t> BRNO 32 </t>
  </si>
  <si>
    <t> M.Netolicky </t>
  </si>
  <si>
    <t>2450665.4108 </t>
  </si>
  <si>
    <t> 04.08.1997 21:51 </t>
  </si>
  <si>
    <t> 0.0395 </t>
  </si>
  <si>
    <t> J.Cechal </t>
  </si>
  <si>
    <t>2451432.430 </t>
  </si>
  <si>
    <t> 10.09.1999 22:19 </t>
  </si>
  <si>
    <t> 0.046 </t>
  </si>
  <si>
    <t> BBS 127 </t>
  </si>
  <si>
    <t>2451437.3827 </t>
  </si>
  <si>
    <t> 15.09.1999 21:11 </t>
  </si>
  <si>
    <t> 0.0176 </t>
  </si>
  <si>
    <t>E </t>
  </si>
  <si>
    <t>?</t>
  </si>
  <si>
    <t> P.Hajek </t>
  </si>
  <si>
    <t>2452224.323 </t>
  </si>
  <si>
    <t> 10.11.2001 19:45 </t>
  </si>
  <si>
    <t>2452986.3488 </t>
  </si>
  <si>
    <t> 12.12.2003 20:22 </t>
  </si>
  <si>
    <t> 0.0156 </t>
  </si>
  <si>
    <t> E.Blättler </t>
  </si>
  <si>
    <t> BBS 130 </t>
  </si>
  <si>
    <t>2453992.4319 </t>
  </si>
  <si>
    <t> 13.09.2006 22:21 </t>
  </si>
  <si>
    <t> 0.0164 </t>
  </si>
  <si>
    <t>C </t>
  </si>
  <si>
    <t>-I</t>
  </si>
  <si>
    <t> F.Agerer </t>
  </si>
  <si>
    <t>BAVM 183 </t>
  </si>
  <si>
    <t>2454241.4615 </t>
  </si>
  <si>
    <t> 20.05.2007 23:04 </t>
  </si>
  <si>
    <t>4740</t>
  </si>
  <si>
    <t> 0.0158 </t>
  </si>
  <si>
    <t>BAVM 186 </t>
  </si>
  <si>
    <t>2455775.4868 </t>
  </si>
  <si>
    <t> 01.08.2011 23:40 </t>
  </si>
  <si>
    <t>5048</t>
  </si>
  <si>
    <t> 0.0148 </t>
  </si>
  <si>
    <t>BAVM 220 </t>
  </si>
  <si>
    <t>II</t>
  </si>
  <si>
    <t>BAD?</t>
  </si>
  <si>
    <t>Eccentric orbit likely</t>
  </si>
  <si>
    <t>IBVS 0749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</si>
</sst>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3" borderId="0" xfId="0" applyFont="1" applyFill="1" applyAlignment="1"/>
    <xf numFmtId="0" fontId="15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Cep - O-C Diagr.</a:t>
            </a:r>
          </a:p>
        </c:rich>
      </c:tx>
      <c:layout>
        <c:manualLayout>
          <c:xMode val="edge"/>
          <c:yMode val="edge"/>
          <c:x val="0.3708612747909822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4769252958613219"/>
          <c:w val="0.8162258254102091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-206</c:v>
                </c:pt>
                <c:pt idx="1">
                  <c:v>0</c:v>
                </c:pt>
                <c:pt idx="2">
                  <c:v>13</c:v>
                </c:pt>
                <c:pt idx="3">
                  <c:v>1231</c:v>
                </c:pt>
                <c:pt idx="4">
                  <c:v>1388</c:v>
                </c:pt>
                <c:pt idx="5">
                  <c:v>1543</c:v>
                </c:pt>
                <c:pt idx="6">
                  <c:v>1544</c:v>
                </c:pt>
                <c:pt idx="7">
                  <c:v>1549</c:v>
                </c:pt>
                <c:pt idx="8">
                  <c:v>1591</c:v>
                </c:pt>
                <c:pt idx="9">
                  <c:v>1749.5</c:v>
                </c:pt>
                <c:pt idx="10">
                  <c:v>1901</c:v>
                </c:pt>
                <c:pt idx="11">
                  <c:v>2263</c:v>
                </c:pt>
                <c:pt idx="12">
                  <c:v>2314</c:v>
                </c:pt>
                <c:pt idx="13">
                  <c:v>2319</c:v>
                </c:pt>
                <c:pt idx="14">
                  <c:v>2321</c:v>
                </c:pt>
                <c:pt idx="15">
                  <c:v>2626</c:v>
                </c:pt>
                <c:pt idx="16">
                  <c:v>3144</c:v>
                </c:pt>
                <c:pt idx="17">
                  <c:v>3144</c:v>
                </c:pt>
                <c:pt idx="18">
                  <c:v>3144</c:v>
                </c:pt>
                <c:pt idx="19">
                  <c:v>3144</c:v>
                </c:pt>
                <c:pt idx="20">
                  <c:v>3144</c:v>
                </c:pt>
                <c:pt idx="21">
                  <c:v>3144</c:v>
                </c:pt>
                <c:pt idx="22">
                  <c:v>3144</c:v>
                </c:pt>
                <c:pt idx="23">
                  <c:v>3144</c:v>
                </c:pt>
                <c:pt idx="24">
                  <c:v>3504</c:v>
                </c:pt>
                <c:pt idx="25">
                  <c:v>4022</c:v>
                </c:pt>
                <c:pt idx="26">
                  <c:v>4022</c:v>
                </c:pt>
                <c:pt idx="27">
                  <c:v>4022</c:v>
                </c:pt>
                <c:pt idx="28">
                  <c:v>4176</c:v>
                </c:pt>
                <c:pt idx="29">
                  <c:v>4177</c:v>
                </c:pt>
                <c:pt idx="30">
                  <c:v>4335</c:v>
                </c:pt>
                <c:pt idx="31">
                  <c:v>4488</c:v>
                </c:pt>
                <c:pt idx="32">
                  <c:v>4690</c:v>
                </c:pt>
                <c:pt idx="33">
                  <c:v>4740</c:v>
                </c:pt>
                <c:pt idx="34">
                  <c:v>5048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6-4713-8AC5-FBD86B7502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5.0000000000000001E-4</c:v>
                  </c:pt>
                  <c:pt idx="34">
                    <c:v>1.5E-3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5.0000000000000001E-4</c:v>
                  </c:pt>
                  <c:pt idx="3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-206</c:v>
                </c:pt>
                <c:pt idx="1">
                  <c:v>0</c:v>
                </c:pt>
                <c:pt idx="2">
                  <c:v>13</c:v>
                </c:pt>
                <c:pt idx="3">
                  <c:v>1231</c:v>
                </c:pt>
                <c:pt idx="4">
                  <c:v>1388</c:v>
                </c:pt>
                <c:pt idx="5">
                  <c:v>1543</c:v>
                </c:pt>
                <c:pt idx="6">
                  <c:v>1544</c:v>
                </c:pt>
                <c:pt idx="7">
                  <c:v>1549</c:v>
                </c:pt>
                <c:pt idx="8">
                  <c:v>1591</c:v>
                </c:pt>
                <c:pt idx="9">
                  <c:v>1749.5</c:v>
                </c:pt>
                <c:pt idx="10">
                  <c:v>1901</c:v>
                </c:pt>
                <c:pt idx="11">
                  <c:v>2263</c:v>
                </c:pt>
                <c:pt idx="12">
                  <c:v>2314</c:v>
                </c:pt>
                <c:pt idx="13">
                  <c:v>2319</c:v>
                </c:pt>
                <c:pt idx="14">
                  <c:v>2321</c:v>
                </c:pt>
                <c:pt idx="15">
                  <c:v>2626</c:v>
                </c:pt>
                <c:pt idx="16">
                  <c:v>3144</c:v>
                </c:pt>
                <c:pt idx="17">
                  <c:v>3144</c:v>
                </c:pt>
                <c:pt idx="18">
                  <c:v>3144</c:v>
                </c:pt>
                <c:pt idx="19">
                  <c:v>3144</c:v>
                </c:pt>
                <c:pt idx="20">
                  <c:v>3144</c:v>
                </c:pt>
                <c:pt idx="21">
                  <c:v>3144</c:v>
                </c:pt>
                <c:pt idx="22">
                  <c:v>3144</c:v>
                </c:pt>
                <c:pt idx="23">
                  <c:v>3144</c:v>
                </c:pt>
                <c:pt idx="24">
                  <c:v>3504</c:v>
                </c:pt>
                <c:pt idx="25">
                  <c:v>4022</c:v>
                </c:pt>
                <c:pt idx="26">
                  <c:v>4022</c:v>
                </c:pt>
                <c:pt idx="27">
                  <c:v>4022</c:v>
                </c:pt>
                <c:pt idx="28">
                  <c:v>4176</c:v>
                </c:pt>
                <c:pt idx="29">
                  <c:v>4177</c:v>
                </c:pt>
                <c:pt idx="30">
                  <c:v>4335</c:v>
                </c:pt>
                <c:pt idx="31">
                  <c:v>4488</c:v>
                </c:pt>
                <c:pt idx="32">
                  <c:v>4690</c:v>
                </c:pt>
                <c:pt idx="33">
                  <c:v>4740</c:v>
                </c:pt>
                <c:pt idx="34">
                  <c:v>5048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-3.6370000001625158E-2</c:v>
                </c:pt>
                <c:pt idx="2">
                  <c:v>0.10513499999797205</c:v>
                </c:pt>
                <c:pt idx="3">
                  <c:v>2.824500000133412E-2</c:v>
                </c:pt>
                <c:pt idx="4">
                  <c:v>9.2599999989033677E-3</c:v>
                </c:pt>
                <c:pt idx="5">
                  <c:v>4.4484999998530839E-2</c:v>
                </c:pt>
                <c:pt idx="6">
                  <c:v>-1.8120000000635628E-2</c:v>
                </c:pt>
                <c:pt idx="7">
                  <c:v>5.085500000132015E-2</c:v>
                </c:pt>
                <c:pt idx="8">
                  <c:v>-1.4555000001564622E-2</c:v>
                </c:pt>
                <c:pt idx="10">
                  <c:v>2.8949999978067353E-3</c:v>
                </c:pt>
                <c:pt idx="11">
                  <c:v>2.0885000005364418E-2</c:v>
                </c:pt>
                <c:pt idx="12">
                  <c:v>6.0300000041024759E-3</c:v>
                </c:pt>
                <c:pt idx="13">
                  <c:v>4.0004999995289836E-2</c:v>
                </c:pt>
                <c:pt idx="14">
                  <c:v>4.7795000005862676E-2</c:v>
                </c:pt>
                <c:pt idx="15">
                  <c:v>2.9270000006363261E-2</c:v>
                </c:pt>
                <c:pt idx="16">
                  <c:v>-3.1200000012177043E-3</c:v>
                </c:pt>
                <c:pt idx="17">
                  <c:v>-1.1200000008102506E-3</c:v>
                </c:pt>
                <c:pt idx="18">
                  <c:v>1.4880000002449378E-2</c:v>
                </c:pt>
                <c:pt idx="19">
                  <c:v>1.5879999999015126E-2</c:v>
                </c:pt>
                <c:pt idx="20">
                  <c:v>1.9879999999830034E-2</c:v>
                </c:pt>
                <c:pt idx="21">
                  <c:v>2.1880000000237487E-2</c:v>
                </c:pt>
                <c:pt idx="22">
                  <c:v>2.5880000001052395E-2</c:v>
                </c:pt>
                <c:pt idx="23">
                  <c:v>2.7880000001459848E-2</c:v>
                </c:pt>
                <c:pt idx="28">
                  <c:v>4.551999999966938E-2</c:v>
                </c:pt>
                <c:pt idx="30">
                  <c:v>2.2324999998090789E-2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6-4713-8AC5-FBD86B7502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-206</c:v>
                </c:pt>
                <c:pt idx="1">
                  <c:v>0</c:v>
                </c:pt>
                <c:pt idx="2">
                  <c:v>13</c:v>
                </c:pt>
                <c:pt idx="3">
                  <c:v>1231</c:v>
                </c:pt>
                <c:pt idx="4">
                  <c:v>1388</c:v>
                </c:pt>
                <c:pt idx="5">
                  <c:v>1543</c:v>
                </c:pt>
                <c:pt idx="6">
                  <c:v>1544</c:v>
                </c:pt>
                <c:pt idx="7">
                  <c:v>1549</c:v>
                </c:pt>
                <c:pt idx="8">
                  <c:v>1591</c:v>
                </c:pt>
                <c:pt idx="9">
                  <c:v>1749.5</c:v>
                </c:pt>
                <c:pt idx="10">
                  <c:v>1901</c:v>
                </c:pt>
                <c:pt idx="11">
                  <c:v>2263</c:v>
                </c:pt>
                <c:pt idx="12">
                  <c:v>2314</c:v>
                </c:pt>
                <c:pt idx="13">
                  <c:v>2319</c:v>
                </c:pt>
                <c:pt idx="14">
                  <c:v>2321</c:v>
                </c:pt>
                <c:pt idx="15">
                  <c:v>2626</c:v>
                </c:pt>
                <c:pt idx="16">
                  <c:v>3144</c:v>
                </c:pt>
                <c:pt idx="17">
                  <c:v>3144</c:v>
                </c:pt>
                <c:pt idx="18">
                  <c:v>3144</c:v>
                </c:pt>
                <c:pt idx="19">
                  <c:v>3144</c:v>
                </c:pt>
                <c:pt idx="20">
                  <c:v>3144</c:v>
                </c:pt>
                <c:pt idx="21">
                  <c:v>3144</c:v>
                </c:pt>
                <c:pt idx="22">
                  <c:v>3144</c:v>
                </c:pt>
                <c:pt idx="23">
                  <c:v>3144</c:v>
                </c:pt>
                <c:pt idx="24">
                  <c:v>3504</c:v>
                </c:pt>
                <c:pt idx="25">
                  <c:v>4022</c:v>
                </c:pt>
                <c:pt idx="26">
                  <c:v>4022</c:v>
                </c:pt>
                <c:pt idx="27">
                  <c:v>4022</c:v>
                </c:pt>
                <c:pt idx="28">
                  <c:v>4176</c:v>
                </c:pt>
                <c:pt idx="29">
                  <c:v>4177</c:v>
                </c:pt>
                <c:pt idx="30">
                  <c:v>4335</c:v>
                </c:pt>
                <c:pt idx="31">
                  <c:v>4488</c:v>
                </c:pt>
                <c:pt idx="32">
                  <c:v>4690</c:v>
                </c:pt>
                <c:pt idx="33">
                  <c:v>4740</c:v>
                </c:pt>
                <c:pt idx="34">
                  <c:v>5048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5">
                  <c:v>2.8389999999490101E-2</c:v>
                </c:pt>
                <c:pt idx="26">
                  <c:v>2.8389999999490101E-2</c:v>
                </c:pt>
                <c:pt idx="27">
                  <c:v>3.9489999995566905E-2</c:v>
                </c:pt>
                <c:pt idx="29">
                  <c:v>1.7615000004298054E-2</c:v>
                </c:pt>
                <c:pt idx="32">
                  <c:v>1.6450000002805609E-2</c:v>
                </c:pt>
                <c:pt idx="33">
                  <c:v>1.5800000001036096E-2</c:v>
                </c:pt>
                <c:pt idx="34">
                  <c:v>1.4759999998204876E-2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F6-4713-8AC5-FBD86B7502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5.0000000000000001E-4</c:v>
                  </c:pt>
                  <c:pt idx="34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5.0000000000000001E-4</c:v>
                  </c:pt>
                  <c:pt idx="3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-206</c:v>
                </c:pt>
                <c:pt idx="1">
                  <c:v>0</c:v>
                </c:pt>
                <c:pt idx="2">
                  <c:v>13</c:v>
                </c:pt>
                <c:pt idx="3">
                  <c:v>1231</c:v>
                </c:pt>
                <c:pt idx="4">
                  <c:v>1388</c:v>
                </c:pt>
                <c:pt idx="5">
                  <c:v>1543</c:v>
                </c:pt>
                <c:pt idx="6">
                  <c:v>1544</c:v>
                </c:pt>
                <c:pt idx="7">
                  <c:v>1549</c:v>
                </c:pt>
                <c:pt idx="8">
                  <c:v>1591</c:v>
                </c:pt>
                <c:pt idx="9">
                  <c:v>1749.5</c:v>
                </c:pt>
                <c:pt idx="10">
                  <c:v>1901</c:v>
                </c:pt>
                <c:pt idx="11">
                  <c:v>2263</c:v>
                </c:pt>
                <c:pt idx="12">
                  <c:v>2314</c:v>
                </c:pt>
                <c:pt idx="13">
                  <c:v>2319</c:v>
                </c:pt>
                <c:pt idx="14">
                  <c:v>2321</c:v>
                </c:pt>
                <c:pt idx="15">
                  <c:v>2626</c:v>
                </c:pt>
                <c:pt idx="16">
                  <c:v>3144</c:v>
                </c:pt>
                <c:pt idx="17">
                  <c:v>3144</c:v>
                </c:pt>
                <c:pt idx="18">
                  <c:v>3144</c:v>
                </c:pt>
                <c:pt idx="19">
                  <c:v>3144</c:v>
                </c:pt>
                <c:pt idx="20">
                  <c:v>3144</c:v>
                </c:pt>
                <c:pt idx="21">
                  <c:v>3144</c:v>
                </c:pt>
                <c:pt idx="22">
                  <c:v>3144</c:v>
                </c:pt>
                <c:pt idx="23">
                  <c:v>3144</c:v>
                </c:pt>
                <c:pt idx="24">
                  <c:v>3504</c:v>
                </c:pt>
                <c:pt idx="25">
                  <c:v>4022</c:v>
                </c:pt>
                <c:pt idx="26">
                  <c:v>4022</c:v>
                </c:pt>
                <c:pt idx="27">
                  <c:v>4022</c:v>
                </c:pt>
                <c:pt idx="28">
                  <c:v>4176</c:v>
                </c:pt>
                <c:pt idx="29">
                  <c:v>4177</c:v>
                </c:pt>
                <c:pt idx="30">
                  <c:v>4335</c:v>
                </c:pt>
                <c:pt idx="31">
                  <c:v>4488</c:v>
                </c:pt>
                <c:pt idx="32">
                  <c:v>4690</c:v>
                </c:pt>
                <c:pt idx="33">
                  <c:v>4740</c:v>
                </c:pt>
                <c:pt idx="34">
                  <c:v>5048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1">
                  <c:v>1.5559999999823049E-2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6-4713-8AC5-FBD86B7502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5.0000000000000001E-4</c:v>
                  </c:pt>
                  <c:pt idx="34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5.0000000000000001E-4</c:v>
                  </c:pt>
                  <c:pt idx="3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-206</c:v>
                </c:pt>
                <c:pt idx="1">
                  <c:v>0</c:v>
                </c:pt>
                <c:pt idx="2">
                  <c:v>13</c:v>
                </c:pt>
                <c:pt idx="3">
                  <c:v>1231</c:v>
                </c:pt>
                <c:pt idx="4">
                  <c:v>1388</c:v>
                </c:pt>
                <c:pt idx="5">
                  <c:v>1543</c:v>
                </c:pt>
                <c:pt idx="6">
                  <c:v>1544</c:v>
                </c:pt>
                <c:pt idx="7">
                  <c:v>1549</c:v>
                </c:pt>
                <c:pt idx="8">
                  <c:v>1591</c:v>
                </c:pt>
                <c:pt idx="9">
                  <c:v>1749.5</c:v>
                </c:pt>
                <c:pt idx="10">
                  <c:v>1901</c:v>
                </c:pt>
                <c:pt idx="11">
                  <c:v>2263</c:v>
                </c:pt>
                <c:pt idx="12">
                  <c:v>2314</c:v>
                </c:pt>
                <c:pt idx="13">
                  <c:v>2319</c:v>
                </c:pt>
                <c:pt idx="14">
                  <c:v>2321</c:v>
                </c:pt>
                <c:pt idx="15">
                  <c:v>2626</c:v>
                </c:pt>
                <c:pt idx="16">
                  <c:v>3144</c:v>
                </c:pt>
                <c:pt idx="17">
                  <c:v>3144</c:v>
                </c:pt>
                <c:pt idx="18">
                  <c:v>3144</c:v>
                </c:pt>
                <c:pt idx="19">
                  <c:v>3144</c:v>
                </c:pt>
                <c:pt idx="20">
                  <c:v>3144</c:v>
                </c:pt>
                <c:pt idx="21">
                  <c:v>3144</c:v>
                </c:pt>
                <c:pt idx="22">
                  <c:v>3144</c:v>
                </c:pt>
                <c:pt idx="23">
                  <c:v>3144</c:v>
                </c:pt>
                <c:pt idx="24">
                  <c:v>3504</c:v>
                </c:pt>
                <c:pt idx="25">
                  <c:v>4022</c:v>
                </c:pt>
                <c:pt idx="26">
                  <c:v>4022</c:v>
                </c:pt>
                <c:pt idx="27">
                  <c:v>4022</c:v>
                </c:pt>
                <c:pt idx="28">
                  <c:v>4176</c:v>
                </c:pt>
                <c:pt idx="29">
                  <c:v>4177</c:v>
                </c:pt>
                <c:pt idx="30">
                  <c:v>4335</c:v>
                </c:pt>
                <c:pt idx="31">
                  <c:v>4488</c:v>
                </c:pt>
                <c:pt idx="32">
                  <c:v>4690</c:v>
                </c:pt>
                <c:pt idx="33">
                  <c:v>4740</c:v>
                </c:pt>
                <c:pt idx="34">
                  <c:v>5048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F6-4713-8AC5-FBD86B7502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5.0000000000000001E-4</c:v>
                  </c:pt>
                  <c:pt idx="34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5.0000000000000001E-4</c:v>
                  </c:pt>
                  <c:pt idx="3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-206</c:v>
                </c:pt>
                <c:pt idx="1">
                  <c:v>0</c:v>
                </c:pt>
                <c:pt idx="2">
                  <c:v>13</c:v>
                </c:pt>
                <c:pt idx="3">
                  <c:v>1231</c:v>
                </c:pt>
                <c:pt idx="4">
                  <c:v>1388</c:v>
                </c:pt>
                <c:pt idx="5">
                  <c:v>1543</c:v>
                </c:pt>
                <c:pt idx="6">
                  <c:v>1544</c:v>
                </c:pt>
                <c:pt idx="7">
                  <c:v>1549</c:v>
                </c:pt>
                <c:pt idx="8">
                  <c:v>1591</c:v>
                </c:pt>
                <c:pt idx="9">
                  <c:v>1749.5</c:v>
                </c:pt>
                <c:pt idx="10">
                  <c:v>1901</c:v>
                </c:pt>
                <c:pt idx="11">
                  <c:v>2263</c:v>
                </c:pt>
                <c:pt idx="12">
                  <c:v>2314</c:v>
                </c:pt>
                <c:pt idx="13">
                  <c:v>2319</c:v>
                </c:pt>
                <c:pt idx="14">
                  <c:v>2321</c:v>
                </c:pt>
                <c:pt idx="15">
                  <c:v>2626</c:v>
                </c:pt>
                <c:pt idx="16">
                  <c:v>3144</c:v>
                </c:pt>
                <c:pt idx="17">
                  <c:v>3144</c:v>
                </c:pt>
                <c:pt idx="18">
                  <c:v>3144</c:v>
                </c:pt>
                <c:pt idx="19">
                  <c:v>3144</c:v>
                </c:pt>
                <c:pt idx="20">
                  <c:v>3144</c:v>
                </c:pt>
                <c:pt idx="21">
                  <c:v>3144</c:v>
                </c:pt>
                <c:pt idx="22">
                  <c:v>3144</c:v>
                </c:pt>
                <c:pt idx="23">
                  <c:v>3144</c:v>
                </c:pt>
                <c:pt idx="24">
                  <c:v>3504</c:v>
                </c:pt>
                <c:pt idx="25">
                  <c:v>4022</c:v>
                </c:pt>
                <c:pt idx="26">
                  <c:v>4022</c:v>
                </c:pt>
                <c:pt idx="27">
                  <c:v>4022</c:v>
                </c:pt>
                <c:pt idx="28">
                  <c:v>4176</c:v>
                </c:pt>
                <c:pt idx="29">
                  <c:v>4177</c:v>
                </c:pt>
                <c:pt idx="30">
                  <c:v>4335</c:v>
                </c:pt>
                <c:pt idx="31">
                  <c:v>4488</c:v>
                </c:pt>
                <c:pt idx="32">
                  <c:v>4690</c:v>
                </c:pt>
                <c:pt idx="33">
                  <c:v>4740</c:v>
                </c:pt>
                <c:pt idx="34">
                  <c:v>5048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F6-4713-8AC5-FBD86B7502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5.0000000000000001E-4</c:v>
                  </c:pt>
                  <c:pt idx="34">
                    <c:v>1.5E-3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8.9999999999999998E-4</c:v>
                  </c:pt>
                  <c:pt idx="32">
                    <c:v>1.1000000000000001E-3</c:v>
                  </c:pt>
                  <c:pt idx="33">
                    <c:v>5.0000000000000001E-4</c:v>
                  </c:pt>
                  <c:pt idx="3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-206</c:v>
                </c:pt>
                <c:pt idx="1">
                  <c:v>0</c:v>
                </c:pt>
                <c:pt idx="2">
                  <c:v>13</c:v>
                </c:pt>
                <c:pt idx="3">
                  <c:v>1231</c:v>
                </c:pt>
                <c:pt idx="4">
                  <c:v>1388</c:v>
                </c:pt>
                <c:pt idx="5">
                  <c:v>1543</c:v>
                </c:pt>
                <c:pt idx="6">
                  <c:v>1544</c:v>
                </c:pt>
                <c:pt idx="7">
                  <c:v>1549</c:v>
                </c:pt>
                <c:pt idx="8">
                  <c:v>1591</c:v>
                </c:pt>
                <c:pt idx="9">
                  <c:v>1749.5</c:v>
                </c:pt>
                <c:pt idx="10">
                  <c:v>1901</c:v>
                </c:pt>
                <c:pt idx="11">
                  <c:v>2263</c:v>
                </c:pt>
                <c:pt idx="12">
                  <c:v>2314</c:v>
                </c:pt>
                <c:pt idx="13">
                  <c:v>2319</c:v>
                </c:pt>
                <c:pt idx="14">
                  <c:v>2321</c:v>
                </c:pt>
                <c:pt idx="15">
                  <c:v>2626</c:v>
                </c:pt>
                <c:pt idx="16">
                  <c:v>3144</c:v>
                </c:pt>
                <c:pt idx="17">
                  <c:v>3144</c:v>
                </c:pt>
                <c:pt idx="18">
                  <c:v>3144</c:v>
                </c:pt>
                <c:pt idx="19">
                  <c:v>3144</c:v>
                </c:pt>
                <c:pt idx="20">
                  <c:v>3144</c:v>
                </c:pt>
                <c:pt idx="21">
                  <c:v>3144</c:v>
                </c:pt>
                <c:pt idx="22">
                  <c:v>3144</c:v>
                </c:pt>
                <c:pt idx="23">
                  <c:v>3144</c:v>
                </c:pt>
                <c:pt idx="24">
                  <c:v>3504</c:v>
                </c:pt>
                <c:pt idx="25">
                  <c:v>4022</c:v>
                </c:pt>
                <c:pt idx="26">
                  <c:v>4022</c:v>
                </c:pt>
                <c:pt idx="27">
                  <c:v>4022</c:v>
                </c:pt>
                <c:pt idx="28">
                  <c:v>4176</c:v>
                </c:pt>
                <c:pt idx="29">
                  <c:v>4177</c:v>
                </c:pt>
                <c:pt idx="30">
                  <c:v>4335</c:v>
                </c:pt>
                <c:pt idx="31">
                  <c:v>4488</c:v>
                </c:pt>
                <c:pt idx="32">
                  <c:v>4690</c:v>
                </c:pt>
                <c:pt idx="33">
                  <c:v>4740</c:v>
                </c:pt>
                <c:pt idx="34">
                  <c:v>5048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F6-4713-8AC5-FBD86B7502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-206</c:v>
                </c:pt>
                <c:pt idx="1">
                  <c:v>0</c:v>
                </c:pt>
                <c:pt idx="2">
                  <c:v>13</c:v>
                </c:pt>
                <c:pt idx="3">
                  <c:v>1231</c:v>
                </c:pt>
                <c:pt idx="4">
                  <c:v>1388</c:v>
                </c:pt>
                <c:pt idx="5">
                  <c:v>1543</c:v>
                </c:pt>
                <c:pt idx="6">
                  <c:v>1544</c:v>
                </c:pt>
                <c:pt idx="7">
                  <c:v>1549</c:v>
                </c:pt>
                <c:pt idx="8">
                  <c:v>1591</c:v>
                </c:pt>
                <c:pt idx="9">
                  <c:v>1749.5</c:v>
                </c:pt>
                <c:pt idx="10">
                  <c:v>1901</c:v>
                </c:pt>
                <c:pt idx="11">
                  <c:v>2263</c:v>
                </c:pt>
                <c:pt idx="12">
                  <c:v>2314</c:v>
                </c:pt>
                <c:pt idx="13">
                  <c:v>2319</c:v>
                </c:pt>
                <c:pt idx="14">
                  <c:v>2321</c:v>
                </c:pt>
                <c:pt idx="15">
                  <c:v>2626</c:v>
                </c:pt>
                <c:pt idx="16">
                  <c:v>3144</c:v>
                </c:pt>
                <c:pt idx="17">
                  <c:v>3144</c:v>
                </c:pt>
                <c:pt idx="18">
                  <c:v>3144</c:v>
                </c:pt>
                <c:pt idx="19">
                  <c:v>3144</c:v>
                </c:pt>
                <c:pt idx="20">
                  <c:v>3144</c:v>
                </c:pt>
                <c:pt idx="21">
                  <c:v>3144</c:v>
                </c:pt>
                <c:pt idx="22">
                  <c:v>3144</c:v>
                </c:pt>
                <c:pt idx="23">
                  <c:v>3144</c:v>
                </c:pt>
                <c:pt idx="24">
                  <c:v>3504</c:v>
                </c:pt>
                <c:pt idx="25">
                  <c:v>4022</c:v>
                </c:pt>
                <c:pt idx="26">
                  <c:v>4022</c:v>
                </c:pt>
                <c:pt idx="27">
                  <c:v>4022</c:v>
                </c:pt>
                <c:pt idx="28">
                  <c:v>4176</c:v>
                </c:pt>
                <c:pt idx="29">
                  <c:v>4177</c:v>
                </c:pt>
                <c:pt idx="30">
                  <c:v>4335</c:v>
                </c:pt>
                <c:pt idx="31">
                  <c:v>4488</c:v>
                </c:pt>
                <c:pt idx="32">
                  <c:v>4690</c:v>
                </c:pt>
                <c:pt idx="33">
                  <c:v>4740</c:v>
                </c:pt>
                <c:pt idx="34">
                  <c:v>5048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2.2291752946209584E-2</c:v>
                </c:pt>
                <c:pt idx="1">
                  <c:v>2.2226115915937532E-2</c:v>
                </c:pt>
                <c:pt idx="2">
                  <c:v>2.2221973773250459E-2</c:v>
                </c:pt>
                <c:pt idx="3">
                  <c:v>2.1833886866107936E-2</c:v>
                </c:pt>
                <c:pt idx="4">
                  <c:v>2.1783862527502536E-2</c:v>
                </c:pt>
                <c:pt idx="5">
                  <c:v>2.1734475441618224E-2</c:v>
                </c:pt>
                <c:pt idx="6">
                  <c:v>2.1734156815257682E-2</c:v>
                </c:pt>
                <c:pt idx="7">
                  <c:v>2.1732563683454963E-2</c:v>
                </c:pt>
                <c:pt idx="8">
                  <c:v>2.1719181376312117E-2</c:v>
                </c:pt>
                <c:pt idx="9">
                  <c:v>2.1668679098165902E-2</c:v>
                </c:pt>
                <c:pt idx="10">
                  <c:v>2.1620407204543494E-2</c:v>
                </c:pt>
                <c:pt idx="11">
                  <c:v>2.1505064462026584E-2</c:v>
                </c:pt>
                <c:pt idx="12">
                  <c:v>2.1488814517638843E-2</c:v>
                </c:pt>
                <c:pt idx="13">
                  <c:v>2.1487221385836124E-2</c:v>
                </c:pt>
                <c:pt idx="14">
                  <c:v>2.1486584133115036E-2</c:v>
                </c:pt>
                <c:pt idx="15">
                  <c:v>2.1389403093149132E-2</c:v>
                </c:pt>
                <c:pt idx="16">
                  <c:v>2.1224354638387372E-2</c:v>
                </c:pt>
                <c:pt idx="17">
                  <c:v>2.1224354638387372E-2</c:v>
                </c:pt>
                <c:pt idx="18">
                  <c:v>2.1224354638387372E-2</c:v>
                </c:pt>
                <c:pt idx="19">
                  <c:v>2.1224354638387372E-2</c:v>
                </c:pt>
                <c:pt idx="20">
                  <c:v>2.1224354638387372E-2</c:v>
                </c:pt>
                <c:pt idx="21">
                  <c:v>2.1224354638387372E-2</c:v>
                </c:pt>
                <c:pt idx="22">
                  <c:v>2.1224354638387372E-2</c:v>
                </c:pt>
                <c:pt idx="23">
                  <c:v>2.1224354638387372E-2</c:v>
                </c:pt>
                <c:pt idx="24">
                  <c:v>2.110964914859155E-2</c:v>
                </c:pt>
                <c:pt idx="25">
                  <c:v>2.0944600693829786E-2</c:v>
                </c:pt>
                <c:pt idx="26">
                  <c:v>2.0944600693829786E-2</c:v>
                </c:pt>
                <c:pt idx="27">
                  <c:v>2.0944600693829786E-2</c:v>
                </c:pt>
                <c:pt idx="28">
                  <c:v>2.089553223430602E-2</c:v>
                </c:pt>
                <c:pt idx="29">
                  <c:v>2.0895213607945474E-2</c:v>
                </c:pt>
                <c:pt idx="30">
                  <c:v>2.0844870642979532E-2</c:v>
                </c:pt>
                <c:pt idx="31">
                  <c:v>2.0796120809816309E-2</c:v>
                </c:pt>
                <c:pt idx="32">
                  <c:v>2.073175828498643E-2</c:v>
                </c:pt>
                <c:pt idx="33">
                  <c:v>2.0715826966959235E-2</c:v>
                </c:pt>
                <c:pt idx="34">
                  <c:v>2.06176900479117E-2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F6-4713-8AC5-FBD86B7502D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-206</c:v>
                </c:pt>
                <c:pt idx="1">
                  <c:v>0</c:v>
                </c:pt>
                <c:pt idx="2">
                  <c:v>13</c:v>
                </c:pt>
                <c:pt idx="3">
                  <c:v>1231</c:v>
                </c:pt>
                <c:pt idx="4">
                  <c:v>1388</c:v>
                </c:pt>
                <c:pt idx="5">
                  <c:v>1543</c:v>
                </c:pt>
                <c:pt idx="6">
                  <c:v>1544</c:v>
                </c:pt>
                <c:pt idx="7">
                  <c:v>1549</c:v>
                </c:pt>
                <c:pt idx="8">
                  <c:v>1591</c:v>
                </c:pt>
                <c:pt idx="9">
                  <c:v>1749.5</c:v>
                </c:pt>
                <c:pt idx="10">
                  <c:v>1901</c:v>
                </c:pt>
                <c:pt idx="11">
                  <c:v>2263</c:v>
                </c:pt>
                <c:pt idx="12">
                  <c:v>2314</c:v>
                </c:pt>
                <c:pt idx="13">
                  <c:v>2319</c:v>
                </c:pt>
                <c:pt idx="14">
                  <c:v>2321</c:v>
                </c:pt>
                <c:pt idx="15">
                  <c:v>2626</c:v>
                </c:pt>
                <c:pt idx="16">
                  <c:v>3144</c:v>
                </c:pt>
                <c:pt idx="17">
                  <c:v>3144</c:v>
                </c:pt>
                <c:pt idx="18">
                  <c:v>3144</c:v>
                </c:pt>
                <c:pt idx="19">
                  <c:v>3144</c:v>
                </c:pt>
                <c:pt idx="20">
                  <c:v>3144</c:v>
                </c:pt>
                <c:pt idx="21">
                  <c:v>3144</c:v>
                </c:pt>
                <c:pt idx="22">
                  <c:v>3144</c:v>
                </c:pt>
                <c:pt idx="23">
                  <c:v>3144</c:v>
                </c:pt>
                <c:pt idx="24">
                  <c:v>3504</c:v>
                </c:pt>
                <c:pt idx="25">
                  <c:v>4022</c:v>
                </c:pt>
                <c:pt idx="26">
                  <c:v>4022</c:v>
                </c:pt>
                <c:pt idx="27">
                  <c:v>4022</c:v>
                </c:pt>
                <c:pt idx="28">
                  <c:v>4176</c:v>
                </c:pt>
                <c:pt idx="29">
                  <c:v>4177</c:v>
                </c:pt>
                <c:pt idx="30">
                  <c:v>4335</c:v>
                </c:pt>
                <c:pt idx="31">
                  <c:v>4488</c:v>
                </c:pt>
                <c:pt idx="32">
                  <c:v>4690</c:v>
                </c:pt>
                <c:pt idx="33">
                  <c:v>4740</c:v>
                </c:pt>
                <c:pt idx="34">
                  <c:v>5048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9">
                  <c:v>-0.48944749999645865</c:v>
                </c:pt>
                <c:pt idx="24">
                  <c:v>9.0080000001762528E-2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F6-4713-8AC5-FBD86B75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64192"/>
        <c:axId val="1"/>
      </c:scatterChart>
      <c:valAx>
        <c:axId val="91486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64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35116719681562"/>
          <c:y val="0.92000129214617399"/>
          <c:w val="0.7963583111713684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228600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B00CBA-6253-B165-0B72-FD88F23ED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749" TargetMode="External"/><Relationship Id="rId2" Type="http://schemas.openxmlformats.org/officeDocument/2006/relationships/hyperlink" Target="http://www.konkoly.hu/cgi-bin/IBVS?749" TargetMode="External"/><Relationship Id="rId1" Type="http://schemas.openxmlformats.org/officeDocument/2006/relationships/hyperlink" Target="http://www.konkoly.hu/cgi-bin/IBVS?749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3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11" t="s">
        <v>35</v>
      </c>
      <c r="C2" s="53" t="s">
        <v>202</v>
      </c>
      <c r="D2" s="53"/>
    </row>
    <row r="4" spans="1:6" ht="14.25" thickTop="1" thickBot="1" x14ac:dyDescent="0.25">
      <c r="A4" s="6" t="s">
        <v>0</v>
      </c>
      <c r="C4" s="3">
        <v>30633.378000000001</v>
      </c>
      <c r="D4" s="4">
        <v>4.9806049999999997</v>
      </c>
    </row>
    <row r="5" spans="1:6" ht="13.5" thickTop="1" x14ac:dyDescent="0.2">
      <c r="A5" s="15" t="s">
        <v>38</v>
      </c>
      <c r="B5" s="9"/>
      <c r="C5" s="16">
        <v>-9.5</v>
      </c>
      <c r="D5" s="9" t="s">
        <v>39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30633.378000000001</v>
      </c>
    </row>
    <row r="8" spans="1:6" x14ac:dyDescent="0.2">
      <c r="A8" t="s">
        <v>3</v>
      </c>
      <c r="C8">
        <f>+D4</f>
        <v>4.9806049999999997</v>
      </c>
    </row>
    <row r="9" spans="1:6" x14ac:dyDescent="0.2">
      <c r="A9" s="32" t="s">
        <v>45</v>
      </c>
      <c r="B9" s="33">
        <v>21</v>
      </c>
      <c r="C9" s="31" t="str">
        <f>"F"&amp;B9</f>
        <v>F21</v>
      </c>
      <c r="D9" s="29" t="str">
        <f>"G"&amp;B9</f>
        <v>G21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30">
        <f ca="1">INTERCEPT(INDIRECT($D$9):G992,INDIRECT($C$9):F992)</f>
        <v>2.2226115915937532E-2</v>
      </c>
      <c r="D11" s="10"/>
      <c r="E11" s="9"/>
    </row>
    <row r="12" spans="1:6" x14ac:dyDescent="0.2">
      <c r="A12" s="9" t="s">
        <v>17</v>
      </c>
      <c r="B12" s="9"/>
      <c r="C12" s="30">
        <f ca="1">SLOPE(INDIRECT($D$9):G992,INDIRECT($C$9):F992)</f>
        <v>-3.1862636054394467E-7</v>
      </c>
      <c r="D12" s="10"/>
      <c r="E12" s="9"/>
    </row>
    <row r="13" spans="1:6" x14ac:dyDescent="0.2">
      <c r="A13" s="9" t="s">
        <v>19</v>
      </c>
      <c r="B13" s="9"/>
      <c r="C13" s="10" t="s">
        <v>14</v>
      </c>
    </row>
    <row r="14" spans="1:6" x14ac:dyDescent="0.2">
      <c r="A14" s="9"/>
      <c r="B14" s="9"/>
      <c r="C14" s="9"/>
    </row>
    <row r="15" spans="1:6" x14ac:dyDescent="0.2">
      <c r="A15" s="17" t="s">
        <v>18</v>
      </c>
      <c r="B15" s="9"/>
      <c r="C15" s="18">
        <f ca="1">(C7+C11)+(C8+C12)*INT(MAX(F21:F3533))</f>
        <v>55775.492657690047</v>
      </c>
      <c r="E15" s="19" t="s">
        <v>46</v>
      </c>
      <c r="F15" s="16">
        <v>1</v>
      </c>
    </row>
    <row r="16" spans="1:6" x14ac:dyDescent="0.2">
      <c r="A16" s="21" t="s">
        <v>4</v>
      </c>
      <c r="B16" s="9"/>
      <c r="C16" s="22">
        <f ca="1">+C8+C12</f>
        <v>4.9806046813736389</v>
      </c>
      <c r="E16" s="19" t="s">
        <v>40</v>
      </c>
      <c r="F16" s="20">
        <f ca="1">NOW()+15018.5+$C$5/24</f>
        <v>60332.697331944444</v>
      </c>
    </row>
    <row r="17" spans="1:21" ht="13.5" thickBot="1" x14ac:dyDescent="0.25">
      <c r="A17" s="19" t="s">
        <v>36</v>
      </c>
      <c r="B17" s="9"/>
      <c r="C17" s="9">
        <f>COUNT(C21:C2191)</f>
        <v>35</v>
      </c>
      <c r="E17" s="19" t="s">
        <v>47</v>
      </c>
      <c r="F17" s="20">
        <f ca="1">ROUND(2*(F16-$C$7)/$C$8,0)/2+F15</f>
        <v>5964</v>
      </c>
    </row>
    <row r="18" spans="1:21" ht="14.25" thickTop="1" thickBot="1" x14ac:dyDescent="0.25">
      <c r="A18" s="21" t="s">
        <v>5</v>
      </c>
      <c r="B18" s="9"/>
      <c r="C18" s="24">
        <f ca="1">+C15</f>
        <v>55775.492657690047</v>
      </c>
      <c r="D18" s="25">
        <f ca="1">+C16</f>
        <v>4.9806046813736389</v>
      </c>
      <c r="E18" s="19" t="s">
        <v>41</v>
      </c>
      <c r="F18" s="29">
        <f ca="1">ROUND(2*(F16-$C$15)/$C$16,0)/2+F15</f>
        <v>916</v>
      </c>
    </row>
    <row r="19" spans="1:21" ht="13.5" thickTop="1" x14ac:dyDescent="0.2">
      <c r="E19" s="19" t="s">
        <v>42</v>
      </c>
      <c r="F19" s="23">
        <f ca="1">+$C$15+$C$16*F18-15018.5-$C$5/24</f>
        <v>45319.622379161636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56</v>
      </c>
      <c r="I20" s="8" t="s">
        <v>59</v>
      </c>
      <c r="J20" s="8" t="s">
        <v>53</v>
      </c>
      <c r="K20" s="8" t="s">
        <v>51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2" t="s">
        <v>201</v>
      </c>
    </row>
    <row r="21" spans="1:21" x14ac:dyDescent="0.2">
      <c r="A21" s="49" t="s">
        <v>203</v>
      </c>
      <c r="B21" s="51" t="s">
        <v>34</v>
      </c>
      <c r="C21" s="50">
        <v>29607.337</v>
      </c>
      <c r="D21" s="50" t="s">
        <v>59</v>
      </c>
      <c r="E21">
        <f t="shared" ref="E21:E55" si="0">+(C21-C$7)/C$8</f>
        <v>-206.0073023257217</v>
      </c>
      <c r="F21">
        <f t="shared" ref="F21:F55" si="1">ROUND(2*E21,0)/2</f>
        <v>-206</v>
      </c>
      <c r="G21">
        <f>+C21-(C$7+F21*C$8)</f>
        <v>-3.6370000001625158E-2</v>
      </c>
      <c r="I21">
        <f>+G21</f>
        <v>-3.6370000001625158E-2</v>
      </c>
      <c r="O21">
        <f t="shared" ref="O21:O55" ca="1" si="2">+C$11+C$12*F21</f>
        <v>2.2291752946209584E-2</v>
      </c>
      <c r="Q21" s="2">
        <f t="shared" ref="Q21:Q55" si="3">+C21-15018.5</f>
        <v>14588.837</v>
      </c>
    </row>
    <row r="22" spans="1:21" x14ac:dyDescent="0.2">
      <c r="A22" t="s">
        <v>12</v>
      </c>
      <c r="C22" s="14">
        <v>30633.378000000001</v>
      </c>
      <c r="D22" s="12" t="s">
        <v>14</v>
      </c>
      <c r="E22">
        <f t="shared" si="0"/>
        <v>0</v>
      </c>
      <c r="F22">
        <f t="shared" si="1"/>
        <v>0</v>
      </c>
      <c r="H22" s="29">
        <v>0</v>
      </c>
      <c r="O22">
        <f t="shared" ca="1" si="2"/>
        <v>2.2226115915937532E-2</v>
      </c>
      <c r="Q22" s="2">
        <f t="shared" si="3"/>
        <v>15614.878000000001</v>
      </c>
    </row>
    <row r="23" spans="1:21" x14ac:dyDescent="0.2">
      <c r="A23" s="49" t="s">
        <v>203</v>
      </c>
      <c r="B23" s="51" t="s">
        <v>34</v>
      </c>
      <c r="C23" s="50">
        <v>30698.231</v>
      </c>
      <c r="D23" s="50" t="s">
        <v>59</v>
      </c>
      <c r="E23">
        <f t="shared" si="0"/>
        <v>13.021108881350591</v>
      </c>
      <c r="F23">
        <f t="shared" si="1"/>
        <v>13</v>
      </c>
      <c r="G23">
        <f t="shared" ref="G23:G29" si="4">+C23-(C$7+F23*C$8)</f>
        <v>0.10513499999797205</v>
      </c>
      <c r="I23">
        <f t="shared" ref="I23:I29" si="5">+G23</f>
        <v>0.10513499999797205</v>
      </c>
      <c r="O23">
        <f t="shared" ca="1" si="2"/>
        <v>2.2221973773250459E-2</v>
      </c>
      <c r="Q23" s="2">
        <f t="shared" si="3"/>
        <v>15679.731</v>
      </c>
    </row>
    <row r="24" spans="1:21" x14ac:dyDescent="0.2">
      <c r="A24" s="49" t="s">
        <v>77</v>
      </c>
      <c r="B24" s="51" t="s">
        <v>34</v>
      </c>
      <c r="C24" s="50">
        <v>36764.531000000003</v>
      </c>
      <c r="D24" s="50" t="s">
        <v>59</v>
      </c>
      <c r="E24">
        <f t="shared" si="0"/>
        <v>1231.005670997801</v>
      </c>
      <c r="F24">
        <f t="shared" si="1"/>
        <v>1231</v>
      </c>
      <c r="G24">
        <f t="shared" si="4"/>
        <v>2.824500000133412E-2</v>
      </c>
      <c r="I24">
        <f t="shared" si="5"/>
        <v>2.824500000133412E-2</v>
      </c>
      <c r="O24">
        <f t="shared" ca="1" si="2"/>
        <v>2.1833886866107936E-2</v>
      </c>
      <c r="Q24" s="2">
        <f t="shared" si="3"/>
        <v>21746.031000000003</v>
      </c>
    </row>
    <row r="25" spans="1:21" x14ac:dyDescent="0.2">
      <c r="A25" s="49" t="s">
        <v>77</v>
      </c>
      <c r="B25" s="51" t="s">
        <v>34</v>
      </c>
      <c r="C25" s="50">
        <v>37546.466999999997</v>
      </c>
      <c r="D25" s="50" t="s">
        <v>59</v>
      </c>
      <c r="E25">
        <f t="shared" si="0"/>
        <v>1388.0018592118822</v>
      </c>
      <c r="F25">
        <f t="shared" si="1"/>
        <v>1388</v>
      </c>
      <c r="G25">
        <f t="shared" si="4"/>
        <v>9.2599999989033677E-3</v>
      </c>
      <c r="I25">
        <f t="shared" si="5"/>
        <v>9.2599999989033677E-3</v>
      </c>
      <c r="O25">
        <f t="shared" ca="1" si="2"/>
        <v>2.1783862527502536E-2</v>
      </c>
      <c r="Q25" s="2">
        <f t="shared" si="3"/>
        <v>22527.966999999997</v>
      </c>
    </row>
    <row r="26" spans="1:21" x14ac:dyDescent="0.2">
      <c r="A26" s="49" t="s">
        <v>77</v>
      </c>
      <c r="B26" s="51" t="s">
        <v>34</v>
      </c>
      <c r="C26" s="50">
        <v>38318.495999999999</v>
      </c>
      <c r="D26" s="50" t="s">
        <v>59</v>
      </c>
      <c r="E26">
        <f t="shared" si="0"/>
        <v>1543.0089316458541</v>
      </c>
      <c r="F26">
        <f t="shared" si="1"/>
        <v>1543</v>
      </c>
      <c r="G26">
        <f t="shared" si="4"/>
        <v>4.4484999998530839E-2</v>
      </c>
      <c r="I26">
        <f t="shared" si="5"/>
        <v>4.4484999998530839E-2</v>
      </c>
      <c r="O26">
        <f t="shared" ca="1" si="2"/>
        <v>2.1734475441618224E-2</v>
      </c>
      <c r="Q26" s="2">
        <f t="shared" si="3"/>
        <v>23299.995999999999</v>
      </c>
    </row>
    <row r="27" spans="1:21" x14ac:dyDescent="0.2">
      <c r="A27" s="49" t="s">
        <v>77</v>
      </c>
      <c r="B27" s="51" t="s">
        <v>34</v>
      </c>
      <c r="C27" s="50">
        <v>38323.413999999997</v>
      </c>
      <c r="D27" s="50" t="s">
        <v>59</v>
      </c>
      <c r="E27">
        <f t="shared" si="0"/>
        <v>1543.9963618877621</v>
      </c>
      <c r="F27">
        <f t="shared" si="1"/>
        <v>1544</v>
      </c>
      <c r="G27">
        <f t="shared" si="4"/>
        <v>-1.8120000000635628E-2</v>
      </c>
      <c r="I27">
        <f t="shared" si="5"/>
        <v>-1.8120000000635628E-2</v>
      </c>
      <c r="O27">
        <f t="shared" ca="1" si="2"/>
        <v>2.1734156815257682E-2</v>
      </c>
      <c r="Q27" s="2">
        <f t="shared" si="3"/>
        <v>23304.913999999997</v>
      </c>
    </row>
    <row r="28" spans="1:21" x14ac:dyDescent="0.2">
      <c r="A28" s="49" t="s">
        <v>77</v>
      </c>
      <c r="B28" s="51" t="s">
        <v>34</v>
      </c>
      <c r="C28" s="50">
        <v>38348.385999999999</v>
      </c>
      <c r="D28" s="50" t="s">
        <v>59</v>
      </c>
      <c r="E28">
        <f t="shared" si="0"/>
        <v>1549.0102106069439</v>
      </c>
      <c r="F28">
        <f t="shared" si="1"/>
        <v>1549</v>
      </c>
      <c r="G28">
        <f t="shared" si="4"/>
        <v>5.085500000132015E-2</v>
      </c>
      <c r="I28">
        <f t="shared" si="5"/>
        <v>5.085500000132015E-2</v>
      </c>
      <c r="O28">
        <f t="shared" ca="1" si="2"/>
        <v>2.1732563683454963E-2</v>
      </c>
      <c r="Q28" s="2">
        <f t="shared" si="3"/>
        <v>23329.885999999999</v>
      </c>
    </row>
    <row r="29" spans="1:21" x14ac:dyDescent="0.2">
      <c r="A29" s="49" t="s">
        <v>77</v>
      </c>
      <c r="B29" s="51" t="s">
        <v>34</v>
      </c>
      <c r="C29" s="50">
        <v>38557.506000000001</v>
      </c>
      <c r="D29" s="50" t="s">
        <v>59</v>
      </c>
      <c r="E29">
        <f t="shared" si="0"/>
        <v>1590.9970776642599</v>
      </c>
      <c r="F29">
        <f t="shared" si="1"/>
        <v>1591</v>
      </c>
      <c r="G29">
        <f t="shared" si="4"/>
        <v>-1.4555000001564622E-2</v>
      </c>
      <c r="I29">
        <f t="shared" si="5"/>
        <v>-1.4555000001564622E-2</v>
      </c>
      <c r="O29">
        <f t="shared" ca="1" si="2"/>
        <v>2.1719181376312117E-2</v>
      </c>
      <c r="Q29" s="2">
        <f t="shared" si="3"/>
        <v>23539.006000000001</v>
      </c>
    </row>
    <row r="30" spans="1:21" x14ac:dyDescent="0.2">
      <c r="A30" s="49" t="s">
        <v>77</v>
      </c>
      <c r="B30" s="51" t="s">
        <v>200</v>
      </c>
      <c r="C30" s="50">
        <v>39346.457000000002</v>
      </c>
      <c r="D30" s="50" t="s">
        <v>59</v>
      </c>
      <c r="E30">
        <f t="shared" si="0"/>
        <v>1749.401729307986</v>
      </c>
      <c r="F30">
        <f t="shared" si="1"/>
        <v>1749.5</v>
      </c>
      <c r="O30">
        <f t="shared" ca="1" si="2"/>
        <v>2.1668679098165902E-2</v>
      </c>
      <c r="Q30" s="2">
        <f t="shared" si="3"/>
        <v>24327.957000000002</v>
      </c>
      <c r="U30">
        <f>+C30-(C$7+F30*C$8)</f>
        <v>-0.48944749999645865</v>
      </c>
    </row>
    <row r="31" spans="1:21" x14ac:dyDescent="0.2">
      <c r="A31" s="49" t="s">
        <v>77</v>
      </c>
      <c r="B31" s="51" t="s">
        <v>34</v>
      </c>
      <c r="C31" s="50">
        <v>40101.510999999999</v>
      </c>
      <c r="D31" s="50" t="s">
        <v>59</v>
      </c>
      <c r="E31">
        <f t="shared" si="0"/>
        <v>1901.0005812546867</v>
      </c>
      <c r="F31">
        <f t="shared" si="1"/>
        <v>1901</v>
      </c>
      <c r="G31">
        <f t="shared" ref="G31:G44" si="6">+C31-(C$7+F31*C$8)</f>
        <v>2.8949999978067353E-3</v>
      </c>
      <c r="I31">
        <f t="shared" ref="I31:I44" si="7">+G31</f>
        <v>2.8949999978067353E-3</v>
      </c>
      <c r="O31">
        <f t="shared" ca="1" si="2"/>
        <v>2.1620407204543494E-2</v>
      </c>
      <c r="Q31" s="2">
        <f t="shared" si="3"/>
        <v>25083.010999999999</v>
      </c>
    </row>
    <row r="32" spans="1:21" x14ac:dyDescent="0.2">
      <c r="A32" s="49" t="s">
        <v>104</v>
      </c>
      <c r="B32" s="51" t="s">
        <v>34</v>
      </c>
      <c r="C32" s="50">
        <v>41904.508000000002</v>
      </c>
      <c r="D32" s="50" t="s">
        <v>59</v>
      </c>
      <c r="E32">
        <f t="shared" si="0"/>
        <v>2263.0041932656777</v>
      </c>
      <c r="F32">
        <f t="shared" si="1"/>
        <v>2263</v>
      </c>
      <c r="G32">
        <f t="shared" si="6"/>
        <v>2.0885000005364418E-2</v>
      </c>
      <c r="I32">
        <f t="shared" si="7"/>
        <v>2.0885000005364418E-2</v>
      </c>
      <c r="O32">
        <f t="shared" ca="1" si="2"/>
        <v>2.1505064462026584E-2</v>
      </c>
      <c r="Q32" s="2">
        <f t="shared" si="3"/>
        <v>26886.008000000002</v>
      </c>
    </row>
    <row r="33" spans="1:30" x14ac:dyDescent="0.2">
      <c r="A33" s="49" t="s">
        <v>109</v>
      </c>
      <c r="B33" s="51" t="s">
        <v>34</v>
      </c>
      <c r="C33" s="50">
        <v>42158.504000000001</v>
      </c>
      <c r="D33" s="50" t="s">
        <v>59</v>
      </c>
      <c r="E33">
        <f t="shared" si="0"/>
        <v>2314.0012106962909</v>
      </c>
      <c r="F33">
        <f t="shared" si="1"/>
        <v>2314</v>
      </c>
      <c r="G33">
        <f t="shared" si="6"/>
        <v>6.0300000041024759E-3</v>
      </c>
      <c r="I33">
        <f t="shared" si="7"/>
        <v>6.0300000041024759E-3</v>
      </c>
      <c r="O33">
        <f t="shared" ca="1" si="2"/>
        <v>2.1488814517638843E-2</v>
      </c>
      <c r="Q33" s="2">
        <f t="shared" si="3"/>
        <v>27140.004000000001</v>
      </c>
    </row>
    <row r="34" spans="1:30" x14ac:dyDescent="0.2">
      <c r="A34" s="49" t="s">
        <v>109</v>
      </c>
      <c r="B34" s="51" t="s">
        <v>34</v>
      </c>
      <c r="C34" s="50">
        <v>42183.440999999999</v>
      </c>
      <c r="D34" s="50" t="s">
        <v>59</v>
      </c>
      <c r="E34">
        <f t="shared" si="0"/>
        <v>2319.0080321567357</v>
      </c>
      <c r="F34">
        <f t="shared" si="1"/>
        <v>2319</v>
      </c>
      <c r="G34">
        <f t="shared" si="6"/>
        <v>4.0004999995289836E-2</v>
      </c>
      <c r="I34">
        <f t="shared" si="7"/>
        <v>4.0004999995289836E-2</v>
      </c>
      <c r="O34">
        <f t="shared" ca="1" si="2"/>
        <v>2.1487221385836124E-2</v>
      </c>
      <c r="Q34" s="2">
        <f t="shared" si="3"/>
        <v>27164.940999999999</v>
      </c>
    </row>
    <row r="35" spans="1:30" x14ac:dyDescent="0.2">
      <c r="A35" s="49" t="s">
        <v>109</v>
      </c>
      <c r="B35" s="51" t="s">
        <v>34</v>
      </c>
      <c r="C35" s="50">
        <v>42193.41</v>
      </c>
      <c r="D35" s="50" t="s">
        <v>59</v>
      </c>
      <c r="E35">
        <f t="shared" si="0"/>
        <v>2321.0095962237529</v>
      </c>
      <c r="F35">
        <f t="shared" si="1"/>
        <v>2321</v>
      </c>
      <c r="G35">
        <f t="shared" si="6"/>
        <v>4.7795000005862676E-2</v>
      </c>
      <c r="I35">
        <f t="shared" si="7"/>
        <v>4.7795000005862676E-2</v>
      </c>
      <c r="O35">
        <f t="shared" ca="1" si="2"/>
        <v>2.1486584133115036E-2</v>
      </c>
      <c r="Q35" s="2">
        <f t="shared" si="3"/>
        <v>27174.910000000003</v>
      </c>
    </row>
    <row r="36" spans="1:30" x14ac:dyDescent="0.2">
      <c r="A36" t="s">
        <v>29</v>
      </c>
      <c r="C36" s="14">
        <v>43712.476000000002</v>
      </c>
      <c r="D36" s="12"/>
      <c r="E36">
        <f t="shared" si="0"/>
        <v>2626.0058767960927</v>
      </c>
      <c r="F36">
        <f t="shared" si="1"/>
        <v>2626</v>
      </c>
      <c r="G36">
        <f t="shared" si="6"/>
        <v>2.9270000006363261E-2</v>
      </c>
      <c r="I36">
        <f t="shared" si="7"/>
        <v>2.9270000006363261E-2</v>
      </c>
      <c r="O36">
        <f t="shared" ca="1" si="2"/>
        <v>2.1389403093149132E-2</v>
      </c>
      <c r="Q36" s="2">
        <f t="shared" si="3"/>
        <v>28693.976000000002</v>
      </c>
      <c r="AA36">
        <v>8</v>
      </c>
      <c r="AB36" t="s">
        <v>28</v>
      </c>
      <c r="AD36" t="s">
        <v>30</v>
      </c>
    </row>
    <row r="37" spans="1:30" x14ac:dyDescent="0.2">
      <c r="A37" s="49" t="s">
        <v>123</v>
      </c>
      <c r="B37" s="51" t="s">
        <v>34</v>
      </c>
      <c r="C37" s="50">
        <v>46292.396999999997</v>
      </c>
      <c r="D37" s="50" t="s">
        <v>59</v>
      </c>
      <c r="E37">
        <f t="shared" si="0"/>
        <v>3143.9993735700778</v>
      </c>
      <c r="F37">
        <f t="shared" si="1"/>
        <v>3144</v>
      </c>
      <c r="G37">
        <f t="shared" si="6"/>
        <v>-3.1200000012177043E-3</v>
      </c>
      <c r="I37">
        <f t="shared" si="7"/>
        <v>-3.1200000012177043E-3</v>
      </c>
      <c r="O37">
        <f t="shared" ca="1" si="2"/>
        <v>2.1224354638387372E-2</v>
      </c>
      <c r="Q37" s="2">
        <f t="shared" si="3"/>
        <v>31273.896999999997</v>
      </c>
    </row>
    <row r="38" spans="1:30" x14ac:dyDescent="0.2">
      <c r="A38" s="49" t="s">
        <v>123</v>
      </c>
      <c r="B38" s="51" t="s">
        <v>34</v>
      </c>
      <c r="C38" s="50">
        <v>46292.398999999998</v>
      </c>
      <c r="D38" s="50" t="s">
        <v>59</v>
      </c>
      <c r="E38">
        <f t="shared" si="0"/>
        <v>3143.9997751277201</v>
      </c>
      <c r="F38">
        <f t="shared" si="1"/>
        <v>3144</v>
      </c>
      <c r="G38">
        <f t="shared" si="6"/>
        <v>-1.1200000008102506E-3</v>
      </c>
      <c r="I38">
        <f t="shared" si="7"/>
        <v>-1.1200000008102506E-3</v>
      </c>
      <c r="O38">
        <f t="shared" ca="1" si="2"/>
        <v>2.1224354638387372E-2</v>
      </c>
      <c r="Q38" s="2">
        <f t="shared" si="3"/>
        <v>31273.898999999998</v>
      </c>
    </row>
    <row r="39" spans="1:30" x14ac:dyDescent="0.2">
      <c r="A39" s="49" t="s">
        <v>123</v>
      </c>
      <c r="B39" s="51" t="s">
        <v>34</v>
      </c>
      <c r="C39" s="50">
        <v>46292.415000000001</v>
      </c>
      <c r="D39" s="50" t="s">
        <v>59</v>
      </c>
      <c r="E39">
        <f t="shared" si="0"/>
        <v>3144.0029875888572</v>
      </c>
      <c r="F39">
        <f t="shared" si="1"/>
        <v>3144</v>
      </c>
      <c r="G39">
        <f t="shared" si="6"/>
        <v>1.4880000002449378E-2</v>
      </c>
      <c r="I39">
        <f t="shared" si="7"/>
        <v>1.4880000002449378E-2</v>
      </c>
      <c r="O39">
        <f t="shared" ca="1" si="2"/>
        <v>2.1224354638387372E-2</v>
      </c>
      <c r="Q39" s="2">
        <f t="shared" si="3"/>
        <v>31273.915000000001</v>
      </c>
    </row>
    <row r="40" spans="1:30" x14ac:dyDescent="0.2">
      <c r="A40" s="49" t="s">
        <v>123</v>
      </c>
      <c r="B40" s="51" t="s">
        <v>34</v>
      </c>
      <c r="C40" s="50">
        <v>46292.415999999997</v>
      </c>
      <c r="D40" s="50" t="s">
        <v>59</v>
      </c>
      <c r="E40">
        <f t="shared" si="0"/>
        <v>3144.0031883676779</v>
      </c>
      <c r="F40">
        <f t="shared" si="1"/>
        <v>3144</v>
      </c>
      <c r="G40">
        <f t="shared" si="6"/>
        <v>1.5879999999015126E-2</v>
      </c>
      <c r="I40">
        <f t="shared" si="7"/>
        <v>1.5879999999015126E-2</v>
      </c>
      <c r="O40">
        <f t="shared" ca="1" si="2"/>
        <v>2.1224354638387372E-2</v>
      </c>
      <c r="Q40" s="2">
        <f t="shared" si="3"/>
        <v>31273.915999999997</v>
      </c>
    </row>
    <row r="41" spans="1:30" x14ac:dyDescent="0.2">
      <c r="A41" s="49" t="s">
        <v>123</v>
      </c>
      <c r="B41" s="51" t="s">
        <v>34</v>
      </c>
      <c r="C41" s="50">
        <v>46292.42</v>
      </c>
      <c r="D41" s="50" t="s">
        <v>59</v>
      </c>
      <c r="E41">
        <f t="shared" si="0"/>
        <v>3144.0039914829622</v>
      </c>
      <c r="F41">
        <f t="shared" si="1"/>
        <v>3144</v>
      </c>
      <c r="G41">
        <f t="shared" si="6"/>
        <v>1.9879999999830034E-2</v>
      </c>
      <c r="I41">
        <f t="shared" si="7"/>
        <v>1.9879999999830034E-2</v>
      </c>
      <c r="O41">
        <f t="shared" ca="1" si="2"/>
        <v>2.1224354638387372E-2</v>
      </c>
      <c r="Q41" s="2">
        <f t="shared" si="3"/>
        <v>31273.919999999998</v>
      </c>
    </row>
    <row r="42" spans="1:30" x14ac:dyDescent="0.2">
      <c r="A42" s="49" t="s">
        <v>123</v>
      </c>
      <c r="B42" s="51" t="s">
        <v>34</v>
      </c>
      <c r="C42" s="50">
        <v>46292.421999999999</v>
      </c>
      <c r="D42" s="50" t="s">
        <v>59</v>
      </c>
      <c r="E42">
        <f t="shared" si="0"/>
        <v>3144.0043930406041</v>
      </c>
      <c r="F42">
        <f t="shared" si="1"/>
        <v>3144</v>
      </c>
      <c r="G42">
        <f t="shared" si="6"/>
        <v>2.1880000000237487E-2</v>
      </c>
      <c r="I42">
        <f t="shared" si="7"/>
        <v>2.1880000000237487E-2</v>
      </c>
      <c r="O42">
        <f t="shared" ca="1" si="2"/>
        <v>2.1224354638387372E-2</v>
      </c>
      <c r="Q42" s="2">
        <f t="shared" si="3"/>
        <v>31273.921999999999</v>
      </c>
    </row>
    <row r="43" spans="1:30" x14ac:dyDescent="0.2">
      <c r="A43" s="49" t="s">
        <v>123</v>
      </c>
      <c r="B43" s="51" t="s">
        <v>34</v>
      </c>
      <c r="C43" s="50">
        <v>46292.425999999999</v>
      </c>
      <c r="D43" s="50" t="s">
        <v>59</v>
      </c>
      <c r="E43">
        <f t="shared" si="0"/>
        <v>3144.0051961558888</v>
      </c>
      <c r="F43">
        <f t="shared" si="1"/>
        <v>3144</v>
      </c>
      <c r="G43">
        <f t="shared" si="6"/>
        <v>2.5880000001052395E-2</v>
      </c>
      <c r="I43">
        <f t="shared" si="7"/>
        <v>2.5880000001052395E-2</v>
      </c>
      <c r="O43">
        <f t="shared" ca="1" si="2"/>
        <v>2.1224354638387372E-2</v>
      </c>
      <c r="Q43" s="2">
        <f t="shared" si="3"/>
        <v>31273.925999999999</v>
      </c>
    </row>
    <row r="44" spans="1:30" x14ac:dyDescent="0.2">
      <c r="A44" s="49" t="s">
        <v>123</v>
      </c>
      <c r="B44" s="51" t="s">
        <v>34</v>
      </c>
      <c r="C44" s="50">
        <v>46292.428</v>
      </c>
      <c r="D44" s="50" t="s">
        <v>59</v>
      </c>
      <c r="E44">
        <f t="shared" si="0"/>
        <v>3144.0055977135307</v>
      </c>
      <c r="F44">
        <f t="shared" si="1"/>
        <v>3144</v>
      </c>
      <c r="G44">
        <f t="shared" si="6"/>
        <v>2.7880000001459848E-2</v>
      </c>
      <c r="I44">
        <f t="shared" si="7"/>
        <v>2.7880000001459848E-2</v>
      </c>
      <c r="O44">
        <f t="shared" ca="1" si="2"/>
        <v>2.1224354638387372E-2</v>
      </c>
      <c r="Q44" s="2">
        <f t="shared" si="3"/>
        <v>31273.928</v>
      </c>
    </row>
    <row r="45" spans="1:30" x14ac:dyDescent="0.2">
      <c r="A45" t="s">
        <v>32</v>
      </c>
      <c r="C45" s="14">
        <v>48085.508000000002</v>
      </c>
      <c r="D45" s="12"/>
      <c r="E45">
        <f t="shared" si="0"/>
        <v>3504.0180861562003</v>
      </c>
      <c r="F45">
        <f t="shared" si="1"/>
        <v>3504</v>
      </c>
      <c r="O45">
        <f t="shared" ca="1" si="2"/>
        <v>2.110964914859155E-2</v>
      </c>
      <c r="Q45" s="2">
        <f t="shared" si="3"/>
        <v>33067.008000000002</v>
      </c>
      <c r="U45" s="29">
        <v>9.0080000001762528E-2</v>
      </c>
      <c r="AA45">
        <v>11</v>
      </c>
      <c r="AB45" t="s">
        <v>31</v>
      </c>
      <c r="AD45" t="s">
        <v>30</v>
      </c>
    </row>
    <row r="46" spans="1:30" x14ac:dyDescent="0.2">
      <c r="A46" s="49" t="s">
        <v>160</v>
      </c>
      <c r="B46" s="51" t="s">
        <v>34</v>
      </c>
      <c r="C46" s="50">
        <v>50665.399700000002</v>
      </c>
      <c r="D46" s="50" t="s">
        <v>59</v>
      </c>
      <c r="E46">
        <f t="shared" si="0"/>
        <v>4022.0057001107298</v>
      </c>
      <c r="F46">
        <f t="shared" si="1"/>
        <v>4022</v>
      </c>
      <c r="G46">
        <f t="shared" ref="G46:G55" si="8">+C46-(C$7+F46*C$8)</f>
        <v>2.8389999999490101E-2</v>
      </c>
      <c r="J46">
        <f>+G46</f>
        <v>2.8389999999490101E-2</v>
      </c>
      <c r="O46">
        <f t="shared" ca="1" si="2"/>
        <v>2.0944600693829786E-2</v>
      </c>
      <c r="Q46" s="2">
        <f t="shared" si="3"/>
        <v>35646.899700000002</v>
      </c>
    </row>
    <row r="47" spans="1:30" x14ac:dyDescent="0.2">
      <c r="A47" s="49" t="s">
        <v>160</v>
      </c>
      <c r="B47" s="51" t="s">
        <v>34</v>
      </c>
      <c r="C47" s="50">
        <v>50665.399700000002</v>
      </c>
      <c r="D47" s="50" t="s">
        <v>59</v>
      </c>
      <c r="E47">
        <f t="shared" si="0"/>
        <v>4022.0057001107298</v>
      </c>
      <c r="F47">
        <f t="shared" si="1"/>
        <v>4022</v>
      </c>
      <c r="G47">
        <f t="shared" si="8"/>
        <v>2.8389999999490101E-2</v>
      </c>
      <c r="J47">
        <f>+G47</f>
        <v>2.8389999999490101E-2</v>
      </c>
      <c r="O47">
        <f t="shared" ca="1" si="2"/>
        <v>2.0944600693829786E-2</v>
      </c>
      <c r="Q47" s="2">
        <f t="shared" si="3"/>
        <v>35646.899700000002</v>
      </c>
    </row>
    <row r="48" spans="1:30" x14ac:dyDescent="0.2">
      <c r="A48" s="49" t="s">
        <v>160</v>
      </c>
      <c r="B48" s="51" t="s">
        <v>34</v>
      </c>
      <c r="C48" s="50">
        <v>50665.410799999998</v>
      </c>
      <c r="D48" s="50" t="s">
        <v>59</v>
      </c>
      <c r="E48">
        <f t="shared" si="0"/>
        <v>4022.0079287556428</v>
      </c>
      <c r="F48">
        <f t="shared" si="1"/>
        <v>4022</v>
      </c>
      <c r="G48">
        <f t="shared" si="8"/>
        <v>3.9489999995566905E-2</v>
      </c>
      <c r="J48">
        <f>+G48</f>
        <v>3.9489999995566905E-2</v>
      </c>
      <c r="O48">
        <f t="shared" ca="1" si="2"/>
        <v>2.0944600693829786E-2</v>
      </c>
      <c r="Q48" s="2">
        <f t="shared" si="3"/>
        <v>35646.910799999998</v>
      </c>
    </row>
    <row r="49" spans="1:17" x14ac:dyDescent="0.2">
      <c r="A49" s="49" t="s">
        <v>169</v>
      </c>
      <c r="B49" s="51" t="s">
        <v>34</v>
      </c>
      <c r="C49" s="50">
        <v>51432.43</v>
      </c>
      <c r="D49" s="50" t="s">
        <v>59</v>
      </c>
      <c r="E49">
        <f t="shared" si="0"/>
        <v>4176.0091394519341</v>
      </c>
      <c r="F49">
        <f t="shared" si="1"/>
        <v>4176</v>
      </c>
      <c r="G49">
        <f t="shared" si="8"/>
        <v>4.551999999966938E-2</v>
      </c>
      <c r="I49">
        <f>+G49</f>
        <v>4.551999999966938E-2</v>
      </c>
      <c r="O49">
        <f t="shared" ca="1" si="2"/>
        <v>2.089553223430602E-2</v>
      </c>
      <c r="Q49" s="2">
        <f t="shared" si="3"/>
        <v>36413.93</v>
      </c>
    </row>
    <row r="50" spans="1:17" x14ac:dyDescent="0.2">
      <c r="A50" s="49" t="s">
        <v>160</v>
      </c>
      <c r="B50" s="51" t="s">
        <v>34</v>
      </c>
      <c r="C50" s="50">
        <v>51437.382700000002</v>
      </c>
      <c r="D50" s="50" t="s">
        <v>59</v>
      </c>
      <c r="E50">
        <f t="shared" si="0"/>
        <v>4177.003536718933</v>
      </c>
      <c r="F50">
        <f t="shared" si="1"/>
        <v>4177</v>
      </c>
      <c r="G50">
        <f t="shared" si="8"/>
        <v>1.7615000004298054E-2</v>
      </c>
      <c r="J50">
        <f>+G50</f>
        <v>1.7615000004298054E-2</v>
      </c>
      <c r="O50">
        <f t="shared" ca="1" si="2"/>
        <v>2.0895213607945474E-2</v>
      </c>
      <c r="Q50" s="2">
        <f t="shared" si="3"/>
        <v>36418.882700000002</v>
      </c>
    </row>
    <row r="51" spans="1:17" x14ac:dyDescent="0.2">
      <c r="A51" s="49" t="s">
        <v>169</v>
      </c>
      <c r="B51" s="51" t="s">
        <v>34</v>
      </c>
      <c r="C51" s="50">
        <v>52224.322999999997</v>
      </c>
      <c r="D51" s="50" t="s">
        <v>59</v>
      </c>
      <c r="E51">
        <f t="shared" si="0"/>
        <v>4335.0044823871795</v>
      </c>
      <c r="F51">
        <f t="shared" si="1"/>
        <v>4335</v>
      </c>
      <c r="G51">
        <f t="shared" si="8"/>
        <v>2.2324999998090789E-2</v>
      </c>
      <c r="I51">
        <f>+G51</f>
        <v>2.2324999998090789E-2</v>
      </c>
      <c r="O51">
        <f t="shared" ca="1" si="2"/>
        <v>2.0844870642979532E-2</v>
      </c>
      <c r="Q51" s="2">
        <f t="shared" si="3"/>
        <v>37205.822999999997</v>
      </c>
    </row>
    <row r="52" spans="1:17" x14ac:dyDescent="0.2">
      <c r="A52" s="9" t="s">
        <v>33</v>
      </c>
      <c r="B52" s="10" t="s">
        <v>34</v>
      </c>
      <c r="C52" s="14">
        <v>52986.3488</v>
      </c>
      <c r="D52" s="13">
        <v>8.9999999999999998E-4</v>
      </c>
      <c r="E52">
        <f t="shared" si="0"/>
        <v>4488.0031241184552</v>
      </c>
      <c r="F52">
        <f t="shared" si="1"/>
        <v>4488</v>
      </c>
      <c r="G52">
        <f t="shared" si="8"/>
        <v>1.5559999999823049E-2</v>
      </c>
      <c r="K52">
        <f>+G52</f>
        <v>1.5559999999823049E-2</v>
      </c>
      <c r="O52">
        <f t="shared" ca="1" si="2"/>
        <v>2.0796120809816309E-2</v>
      </c>
      <c r="Q52" s="2">
        <f t="shared" si="3"/>
        <v>37967.8488</v>
      </c>
    </row>
    <row r="53" spans="1:17" x14ac:dyDescent="0.2">
      <c r="A53" s="26" t="s">
        <v>43</v>
      </c>
      <c r="B53" s="27" t="s">
        <v>34</v>
      </c>
      <c r="C53" s="12">
        <v>53992.431900000003</v>
      </c>
      <c r="D53" s="12">
        <v>1.1000000000000001E-3</v>
      </c>
      <c r="E53">
        <f t="shared" si="0"/>
        <v>4690.0033028116068</v>
      </c>
      <c r="F53">
        <f t="shared" si="1"/>
        <v>4690</v>
      </c>
      <c r="G53">
        <f t="shared" si="8"/>
        <v>1.6450000002805609E-2</v>
      </c>
      <c r="J53">
        <f>+G53</f>
        <v>1.6450000002805609E-2</v>
      </c>
      <c r="O53">
        <f t="shared" ca="1" si="2"/>
        <v>2.073175828498643E-2</v>
      </c>
      <c r="Q53" s="2">
        <f t="shared" si="3"/>
        <v>38973.931900000003</v>
      </c>
    </row>
    <row r="54" spans="1:17" x14ac:dyDescent="0.2">
      <c r="A54" s="28" t="s">
        <v>44</v>
      </c>
      <c r="B54" s="27"/>
      <c r="C54" s="12">
        <v>54241.461499999998</v>
      </c>
      <c r="D54" s="12">
        <v>5.0000000000000001E-4</v>
      </c>
      <c r="E54">
        <f t="shared" si="0"/>
        <v>4740.0031723053726</v>
      </c>
      <c r="F54">
        <f t="shared" si="1"/>
        <v>4740</v>
      </c>
      <c r="G54">
        <f t="shared" si="8"/>
        <v>1.5800000001036096E-2</v>
      </c>
      <c r="J54">
        <f>+G54</f>
        <v>1.5800000001036096E-2</v>
      </c>
      <c r="O54">
        <f t="shared" ca="1" si="2"/>
        <v>2.0715826966959235E-2</v>
      </c>
      <c r="Q54" s="2">
        <f t="shared" si="3"/>
        <v>39222.961499999998</v>
      </c>
    </row>
    <row r="55" spans="1:17" x14ac:dyDescent="0.2">
      <c r="A55" s="34" t="s">
        <v>48</v>
      </c>
      <c r="B55" s="35" t="s">
        <v>34</v>
      </c>
      <c r="C55" s="34">
        <v>55775.486799999999</v>
      </c>
      <c r="D55" s="54">
        <v>1.5E-3</v>
      </c>
      <c r="E55">
        <f t="shared" si="0"/>
        <v>5048.0029634953989</v>
      </c>
      <c r="F55">
        <f t="shared" si="1"/>
        <v>5048</v>
      </c>
      <c r="G55">
        <f t="shared" si="8"/>
        <v>1.4759999998204876E-2</v>
      </c>
      <c r="J55">
        <f>+G55</f>
        <v>1.4759999998204876E-2</v>
      </c>
      <c r="O55">
        <f t="shared" ca="1" si="2"/>
        <v>2.06176900479117E-2</v>
      </c>
      <c r="Q55" s="2">
        <f t="shared" si="3"/>
        <v>40756.986799999999</v>
      </c>
    </row>
    <row r="56" spans="1:17" x14ac:dyDescent="0.2">
      <c r="B56" s="10"/>
      <c r="C56" s="12"/>
      <c r="D56" s="12"/>
    </row>
    <row r="57" spans="1:17" x14ac:dyDescent="0.2">
      <c r="B57" s="10"/>
      <c r="C57" s="12"/>
      <c r="D57" s="12"/>
    </row>
    <row r="58" spans="1:17" x14ac:dyDescent="0.2">
      <c r="B58" s="10"/>
      <c r="C58" s="12"/>
      <c r="D58" s="12"/>
    </row>
    <row r="59" spans="1:17" x14ac:dyDescent="0.2">
      <c r="B59" s="10"/>
      <c r="C59" s="12"/>
      <c r="D59" s="12"/>
    </row>
    <row r="60" spans="1:17" x14ac:dyDescent="0.2">
      <c r="B60" s="10"/>
      <c r="C60" s="12"/>
      <c r="D60" s="12"/>
    </row>
    <row r="61" spans="1:17" x14ac:dyDescent="0.2">
      <c r="B61" s="10"/>
      <c r="C61" s="12"/>
      <c r="D61" s="12"/>
    </row>
    <row r="62" spans="1:17" x14ac:dyDescent="0.2">
      <c r="B62" s="10"/>
      <c r="C62" s="12"/>
      <c r="D62" s="12"/>
    </row>
    <row r="63" spans="1:17" x14ac:dyDescent="0.2">
      <c r="B63" s="10"/>
      <c r="C63" s="12"/>
      <c r="D63" s="12"/>
    </row>
    <row r="64" spans="1:17" x14ac:dyDescent="0.2">
      <c r="B64" s="10"/>
      <c r="C64" s="12"/>
      <c r="D64" s="12"/>
    </row>
    <row r="65" spans="2:4" x14ac:dyDescent="0.2">
      <c r="B65" s="10"/>
      <c r="C65" s="12"/>
      <c r="D65" s="12"/>
    </row>
    <row r="66" spans="2:4" x14ac:dyDescent="0.2">
      <c r="B66" s="10"/>
      <c r="C66" s="12"/>
      <c r="D66" s="12"/>
    </row>
    <row r="67" spans="2:4" x14ac:dyDescent="0.2">
      <c r="B67" s="10"/>
      <c r="C67" s="12"/>
      <c r="D67" s="12"/>
    </row>
    <row r="68" spans="2:4" x14ac:dyDescent="0.2">
      <c r="B68" s="10"/>
      <c r="C68" s="12"/>
      <c r="D68" s="12"/>
    </row>
    <row r="69" spans="2:4" x14ac:dyDescent="0.2">
      <c r="B69" s="10"/>
      <c r="C69" s="12"/>
      <c r="D69" s="12"/>
    </row>
    <row r="70" spans="2:4" x14ac:dyDescent="0.2">
      <c r="B70" s="10"/>
      <c r="C70" s="12"/>
      <c r="D70" s="12"/>
    </row>
    <row r="71" spans="2:4" x14ac:dyDescent="0.2">
      <c r="B71" s="10"/>
      <c r="C71" s="12"/>
      <c r="D71" s="12"/>
    </row>
    <row r="72" spans="2:4" x14ac:dyDescent="0.2">
      <c r="B72" s="10"/>
      <c r="C72" s="12"/>
      <c r="D72" s="12"/>
    </row>
    <row r="73" spans="2:4" x14ac:dyDescent="0.2">
      <c r="B73" s="10"/>
      <c r="C73" s="12"/>
      <c r="D73" s="12"/>
    </row>
    <row r="74" spans="2:4" x14ac:dyDescent="0.2">
      <c r="C74" s="12"/>
      <c r="D74" s="12"/>
    </row>
    <row r="75" spans="2:4" x14ac:dyDescent="0.2">
      <c r="C75" s="12"/>
      <c r="D75" s="12"/>
    </row>
    <row r="76" spans="2:4" x14ac:dyDescent="0.2">
      <c r="C76" s="12"/>
      <c r="D76" s="12"/>
    </row>
    <row r="77" spans="2:4" x14ac:dyDescent="0.2">
      <c r="C77" s="12"/>
      <c r="D77" s="12"/>
    </row>
    <row r="78" spans="2:4" x14ac:dyDescent="0.2">
      <c r="C78" s="12"/>
      <c r="D78" s="12"/>
    </row>
    <row r="79" spans="2:4" x14ac:dyDescent="0.2">
      <c r="C79" s="12"/>
      <c r="D79" s="12"/>
    </row>
    <row r="80" spans="2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4"/>
  <sheetViews>
    <sheetView workbookViewId="0">
      <selection activeCell="A18" sqref="A18:D45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6" t="s">
        <v>49</v>
      </c>
      <c r="I1" s="37" t="s">
        <v>50</v>
      </c>
      <c r="J1" s="38" t="s">
        <v>51</v>
      </c>
    </row>
    <row r="2" spans="1:16" x14ac:dyDescent="0.2">
      <c r="I2" s="39" t="s">
        <v>52</v>
      </c>
      <c r="J2" s="40" t="s">
        <v>53</v>
      </c>
    </row>
    <row r="3" spans="1:16" x14ac:dyDescent="0.2">
      <c r="A3" s="41" t="s">
        <v>54</v>
      </c>
      <c r="I3" s="39" t="s">
        <v>55</v>
      </c>
      <c r="J3" s="40" t="s">
        <v>56</v>
      </c>
    </row>
    <row r="4" spans="1:16" x14ac:dyDescent="0.2">
      <c r="I4" s="39" t="s">
        <v>57</v>
      </c>
      <c r="J4" s="40" t="s">
        <v>56</v>
      </c>
    </row>
    <row r="5" spans="1:16" ht="13.5" thickBot="1" x14ac:dyDescent="0.25">
      <c r="I5" s="42" t="s">
        <v>58</v>
      </c>
      <c r="J5" s="43" t="s">
        <v>59</v>
      </c>
    </row>
    <row r="10" spans="1:16" ht="13.5" thickBot="1" x14ac:dyDescent="0.25"/>
    <row r="11" spans="1:16" ht="12.75" customHeight="1" thickBot="1" x14ac:dyDescent="0.25">
      <c r="A11" s="12" t="str">
        <f t="shared" ref="A11:A45" si="0">P11</f>
        <v>IBVS 749 </v>
      </c>
      <c r="B11" s="10" t="str">
        <f t="shared" ref="B11:B45" si="1">IF(H11=INT(H11),"I","II")</f>
        <v>I</v>
      </c>
      <c r="C11" s="12">
        <f t="shared" ref="C11:C45" si="2">1*G11</f>
        <v>30633.378000000001</v>
      </c>
      <c r="D11" s="9" t="str">
        <f t="shared" ref="D11:D45" si="3">VLOOKUP(F11,I$1:J$5,2,FALSE)</f>
        <v>vis</v>
      </c>
      <c r="E11" s="44">
        <f>VLOOKUP(C11,Active!C$21:E$973,3,FALSE)</f>
        <v>0</v>
      </c>
      <c r="F11" s="10" t="s">
        <v>58</v>
      </c>
      <c r="G11" s="9" t="str">
        <f t="shared" ref="G11:G45" si="4">MID(I11,3,LEN(I11)-3)</f>
        <v>30633.378</v>
      </c>
      <c r="H11" s="12">
        <f t="shared" ref="H11:H45" si="5">1*K11</f>
        <v>0</v>
      </c>
      <c r="I11" s="45" t="s">
        <v>67</v>
      </c>
      <c r="J11" s="46" t="s">
        <v>68</v>
      </c>
      <c r="K11" s="45">
        <v>0</v>
      </c>
      <c r="L11" s="45" t="s">
        <v>69</v>
      </c>
      <c r="M11" s="46" t="s">
        <v>64</v>
      </c>
      <c r="N11" s="46"/>
      <c r="O11" s="47" t="s">
        <v>65</v>
      </c>
      <c r="P11" s="48" t="s">
        <v>66</v>
      </c>
    </row>
    <row r="12" spans="1:16" ht="12.75" customHeight="1" thickBot="1" x14ac:dyDescent="0.25">
      <c r="A12" s="12" t="str">
        <f t="shared" si="0"/>
        <v> BBS 38 </v>
      </c>
      <c r="B12" s="10" t="str">
        <f t="shared" si="1"/>
        <v>I</v>
      </c>
      <c r="C12" s="12">
        <f t="shared" si="2"/>
        <v>43712.476000000002</v>
      </c>
      <c r="D12" s="9" t="str">
        <f t="shared" si="3"/>
        <v>vis</v>
      </c>
      <c r="E12" s="44">
        <f>VLOOKUP(C12,Active!C$21:E$973,3,FALSE)</f>
        <v>2626.0058767960927</v>
      </c>
      <c r="F12" s="10" t="s">
        <v>58</v>
      </c>
      <c r="G12" s="9" t="str">
        <f t="shared" si="4"/>
        <v>43712.476</v>
      </c>
      <c r="H12" s="12">
        <f t="shared" si="5"/>
        <v>2626</v>
      </c>
      <c r="I12" s="45" t="s">
        <v>116</v>
      </c>
      <c r="J12" s="46" t="s">
        <v>117</v>
      </c>
      <c r="K12" s="45">
        <v>2626</v>
      </c>
      <c r="L12" s="45" t="s">
        <v>118</v>
      </c>
      <c r="M12" s="46" t="s">
        <v>102</v>
      </c>
      <c r="N12" s="46"/>
      <c r="O12" s="47" t="s">
        <v>108</v>
      </c>
      <c r="P12" s="47" t="s">
        <v>119</v>
      </c>
    </row>
    <row r="13" spans="1:16" ht="12.75" customHeight="1" thickBot="1" x14ac:dyDescent="0.25">
      <c r="A13" s="12" t="str">
        <f t="shared" si="0"/>
        <v> BBS 96 </v>
      </c>
      <c r="B13" s="10" t="str">
        <f t="shared" si="1"/>
        <v>I</v>
      </c>
      <c r="C13" s="12">
        <f t="shared" si="2"/>
        <v>48085.508000000002</v>
      </c>
      <c r="D13" s="9" t="str">
        <f t="shared" si="3"/>
        <v>vis</v>
      </c>
      <c r="E13" s="44">
        <f>VLOOKUP(C13,Active!C$21:E$973,3,FALSE)</f>
        <v>3504.0180861562003</v>
      </c>
      <c r="F13" s="10" t="s">
        <v>58</v>
      </c>
      <c r="G13" s="9" t="str">
        <f t="shared" si="4"/>
        <v>48085.508</v>
      </c>
      <c r="H13" s="12">
        <f t="shared" si="5"/>
        <v>3504</v>
      </c>
      <c r="I13" s="45" t="s">
        <v>151</v>
      </c>
      <c r="J13" s="46" t="s">
        <v>152</v>
      </c>
      <c r="K13" s="45">
        <v>3504</v>
      </c>
      <c r="L13" s="45" t="s">
        <v>153</v>
      </c>
      <c r="M13" s="46" t="s">
        <v>102</v>
      </c>
      <c r="N13" s="46"/>
      <c r="O13" s="47" t="s">
        <v>154</v>
      </c>
      <c r="P13" s="47" t="s">
        <v>155</v>
      </c>
    </row>
    <row r="14" spans="1:16" ht="12.75" customHeight="1" thickBot="1" x14ac:dyDescent="0.25">
      <c r="A14" s="12" t="str">
        <f t="shared" si="0"/>
        <v> BBS 130 </v>
      </c>
      <c r="B14" s="10" t="str">
        <f t="shared" si="1"/>
        <v>I</v>
      </c>
      <c r="C14" s="12">
        <f t="shared" si="2"/>
        <v>52986.3488</v>
      </c>
      <c r="D14" s="9" t="str">
        <f t="shared" si="3"/>
        <v>vis</v>
      </c>
      <c r="E14" s="44">
        <f>VLOOKUP(C14,Active!C$21:E$973,3,FALSE)</f>
        <v>4488.0031241184552</v>
      </c>
      <c r="F14" s="10" t="s">
        <v>58</v>
      </c>
      <c r="G14" s="9" t="str">
        <f t="shared" si="4"/>
        <v>52986.3488</v>
      </c>
      <c r="H14" s="12">
        <f t="shared" si="5"/>
        <v>4488</v>
      </c>
      <c r="I14" s="45" t="s">
        <v>178</v>
      </c>
      <c r="J14" s="46" t="s">
        <v>179</v>
      </c>
      <c r="K14" s="45">
        <v>4488</v>
      </c>
      <c r="L14" s="45" t="s">
        <v>180</v>
      </c>
      <c r="M14" s="46" t="s">
        <v>173</v>
      </c>
      <c r="N14" s="46" t="s">
        <v>174</v>
      </c>
      <c r="O14" s="47" t="s">
        <v>181</v>
      </c>
      <c r="P14" s="47" t="s">
        <v>182</v>
      </c>
    </row>
    <row r="15" spans="1:16" ht="12.75" customHeight="1" thickBot="1" x14ac:dyDescent="0.25">
      <c r="A15" s="12" t="str">
        <f t="shared" si="0"/>
        <v>BAVM 183 </v>
      </c>
      <c r="B15" s="10" t="str">
        <f t="shared" si="1"/>
        <v>I</v>
      </c>
      <c r="C15" s="12">
        <f t="shared" si="2"/>
        <v>53992.431900000003</v>
      </c>
      <c r="D15" s="9" t="str">
        <f t="shared" si="3"/>
        <v>vis</v>
      </c>
      <c r="E15" s="44">
        <f>VLOOKUP(C15,Active!C$21:E$973,3,FALSE)</f>
        <v>4690.0033028116068</v>
      </c>
      <c r="F15" s="10" t="s">
        <v>58</v>
      </c>
      <c r="G15" s="9" t="str">
        <f t="shared" si="4"/>
        <v>53992.4319</v>
      </c>
      <c r="H15" s="12">
        <f t="shared" si="5"/>
        <v>4690</v>
      </c>
      <c r="I15" s="45" t="s">
        <v>183</v>
      </c>
      <c r="J15" s="46" t="s">
        <v>184</v>
      </c>
      <c r="K15" s="45">
        <v>4690</v>
      </c>
      <c r="L15" s="45" t="s">
        <v>185</v>
      </c>
      <c r="M15" s="46" t="s">
        <v>186</v>
      </c>
      <c r="N15" s="46" t="s">
        <v>187</v>
      </c>
      <c r="O15" s="47" t="s">
        <v>188</v>
      </c>
      <c r="P15" s="48" t="s">
        <v>189</v>
      </c>
    </row>
    <row r="16" spans="1:16" ht="12.75" customHeight="1" thickBot="1" x14ac:dyDescent="0.25">
      <c r="A16" s="12" t="str">
        <f t="shared" si="0"/>
        <v>BAVM 186 </v>
      </c>
      <c r="B16" s="10" t="str">
        <f t="shared" si="1"/>
        <v>I</v>
      </c>
      <c r="C16" s="12">
        <f t="shared" si="2"/>
        <v>54241.461499999998</v>
      </c>
      <c r="D16" s="9" t="str">
        <f t="shared" si="3"/>
        <v>vis</v>
      </c>
      <c r="E16" s="44">
        <f>VLOOKUP(C16,Active!C$21:E$973,3,FALSE)</f>
        <v>4740.0031723053726</v>
      </c>
      <c r="F16" s="10" t="s">
        <v>58</v>
      </c>
      <c r="G16" s="9" t="str">
        <f t="shared" si="4"/>
        <v>54241.4615</v>
      </c>
      <c r="H16" s="12">
        <f t="shared" si="5"/>
        <v>4740</v>
      </c>
      <c r="I16" s="45" t="s">
        <v>190</v>
      </c>
      <c r="J16" s="46" t="s">
        <v>191</v>
      </c>
      <c r="K16" s="45" t="s">
        <v>192</v>
      </c>
      <c r="L16" s="45" t="s">
        <v>193</v>
      </c>
      <c r="M16" s="46" t="s">
        <v>186</v>
      </c>
      <c r="N16" s="46" t="s">
        <v>187</v>
      </c>
      <c r="O16" s="47" t="s">
        <v>188</v>
      </c>
      <c r="P16" s="48" t="s">
        <v>194</v>
      </c>
    </row>
    <row r="17" spans="1:16" ht="12.75" customHeight="1" thickBot="1" x14ac:dyDescent="0.25">
      <c r="A17" s="12" t="str">
        <f t="shared" si="0"/>
        <v>BAVM 220 </v>
      </c>
      <c r="B17" s="10" t="str">
        <f t="shared" si="1"/>
        <v>I</v>
      </c>
      <c r="C17" s="12">
        <f t="shared" si="2"/>
        <v>55775.486799999999</v>
      </c>
      <c r="D17" s="9" t="str">
        <f t="shared" si="3"/>
        <v>vis</v>
      </c>
      <c r="E17" s="44">
        <f>VLOOKUP(C17,Active!C$21:E$973,3,FALSE)</f>
        <v>5048.0029634953989</v>
      </c>
      <c r="F17" s="10" t="s">
        <v>58</v>
      </c>
      <c r="G17" s="9" t="str">
        <f t="shared" si="4"/>
        <v>55775.4868</v>
      </c>
      <c r="H17" s="12">
        <f t="shared" si="5"/>
        <v>5048</v>
      </c>
      <c r="I17" s="45" t="s">
        <v>195</v>
      </c>
      <c r="J17" s="46" t="s">
        <v>196</v>
      </c>
      <c r="K17" s="45" t="s">
        <v>197</v>
      </c>
      <c r="L17" s="45" t="s">
        <v>198</v>
      </c>
      <c r="M17" s="46" t="s">
        <v>186</v>
      </c>
      <c r="N17" s="46" t="s">
        <v>187</v>
      </c>
      <c r="O17" s="47" t="s">
        <v>188</v>
      </c>
      <c r="P17" s="48" t="s">
        <v>199</v>
      </c>
    </row>
    <row r="18" spans="1:16" ht="12.75" customHeight="1" thickBot="1" x14ac:dyDescent="0.25">
      <c r="A18" s="12" t="str">
        <f t="shared" si="0"/>
        <v>IBVS 749 </v>
      </c>
      <c r="B18" s="10" t="str">
        <f t="shared" si="1"/>
        <v>I</v>
      </c>
      <c r="C18" s="12">
        <f t="shared" si="2"/>
        <v>29607.337</v>
      </c>
      <c r="D18" s="9" t="str">
        <f t="shared" si="3"/>
        <v>vis</v>
      </c>
      <c r="E18" s="44">
        <f>VLOOKUP(C18,Active!C$21:E$973,3,FALSE)</f>
        <v>-206.0073023257217</v>
      </c>
      <c r="F18" s="10" t="s">
        <v>58</v>
      </c>
      <c r="G18" s="9" t="str">
        <f t="shared" si="4"/>
        <v>29607.337</v>
      </c>
      <c r="H18" s="12">
        <f t="shared" si="5"/>
        <v>-206</v>
      </c>
      <c r="I18" s="45" t="s">
        <v>61</v>
      </c>
      <c r="J18" s="46" t="s">
        <v>62</v>
      </c>
      <c r="K18" s="45">
        <v>-206</v>
      </c>
      <c r="L18" s="45" t="s">
        <v>63</v>
      </c>
      <c r="M18" s="46" t="s">
        <v>64</v>
      </c>
      <c r="N18" s="46"/>
      <c r="O18" s="47" t="s">
        <v>65</v>
      </c>
      <c r="P18" s="48" t="s">
        <v>66</v>
      </c>
    </row>
    <row r="19" spans="1:16" ht="12.75" customHeight="1" thickBot="1" x14ac:dyDescent="0.25">
      <c r="A19" s="12" t="str">
        <f t="shared" si="0"/>
        <v>IBVS 749 </v>
      </c>
      <c r="B19" s="10" t="str">
        <f t="shared" si="1"/>
        <v>I</v>
      </c>
      <c r="C19" s="12">
        <f t="shared" si="2"/>
        <v>30698.231</v>
      </c>
      <c r="D19" s="9" t="str">
        <f t="shared" si="3"/>
        <v>vis</v>
      </c>
      <c r="E19" s="44">
        <f>VLOOKUP(C19,Active!C$21:E$973,3,FALSE)</f>
        <v>13.021108881350591</v>
      </c>
      <c r="F19" s="10" t="s">
        <v>58</v>
      </c>
      <c r="G19" s="9" t="str">
        <f t="shared" si="4"/>
        <v>30698.231</v>
      </c>
      <c r="H19" s="12">
        <f t="shared" si="5"/>
        <v>13</v>
      </c>
      <c r="I19" s="45" t="s">
        <v>70</v>
      </c>
      <c r="J19" s="46" t="s">
        <v>71</v>
      </c>
      <c r="K19" s="45">
        <v>13</v>
      </c>
      <c r="L19" s="45" t="s">
        <v>72</v>
      </c>
      <c r="M19" s="46" t="s">
        <v>64</v>
      </c>
      <c r="N19" s="46"/>
      <c r="O19" s="47" t="s">
        <v>65</v>
      </c>
      <c r="P19" s="48" t="s">
        <v>66</v>
      </c>
    </row>
    <row r="20" spans="1:16" ht="12.75" customHeight="1" thickBot="1" x14ac:dyDescent="0.25">
      <c r="A20" s="12" t="str">
        <f t="shared" si="0"/>
        <v> MHAR 6.5 </v>
      </c>
      <c r="B20" s="10" t="str">
        <f t="shared" si="1"/>
        <v>I</v>
      </c>
      <c r="C20" s="12">
        <f t="shared" si="2"/>
        <v>36764.531000000003</v>
      </c>
      <c r="D20" s="9" t="str">
        <f t="shared" si="3"/>
        <v>vis</v>
      </c>
      <c r="E20" s="44">
        <f>VLOOKUP(C20,Active!C$21:E$973,3,FALSE)</f>
        <v>1231.005670997801</v>
      </c>
      <c r="F20" s="10" t="s">
        <v>58</v>
      </c>
      <c r="G20" s="9" t="str">
        <f t="shared" si="4"/>
        <v>36764.531</v>
      </c>
      <c r="H20" s="12">
        <f t="shared" si="5"/>
        <v>1231</v>
      </c>
      <c r="I20" s="45" t="s">
        <v>73</v>
      </c>
      <c r="J20" s="46" t="s">
        <v>74</v>
      </c>
      <c r="K20" s="45">
        <v>1231</v>
      </c>
      <c r="L20" s="45" t="s">
        <v>75</v>
      </c>
      <c r="M20" s="46" t="s">
        <v>64</v>
      </c>
      <c r="N20" s="46"/>
      <c r="O20" s="47" t="s">
        <v>76</v>
      </c>
      <c r="P20" s="47" t="s">
        <v>77</v>
      </c>
    </row>
    <row r="21" spans="1:16" ht="12.75" customHeight="1" thickBot="1" x14ac:dyDescent="0.25">
      <c r="A21" s="12" t="str">
        <f t="shared" si="0"/>
        <v> MHAR 6.5 </v>
      </c>
      <c r="B21" s="10" t="str">
        <f t="shared" si="1"/>
        <v>I</v>
      </c>
      <c r="C21" s="12">
        <f t="shared" si="2"/>
        <v>37546.466999999997</v>
      </c>
      <c r="D21" s="9" t="str">
        <f t="shared" si="3"/>
        <v>vis</v>
      </c>
      <c r="E21" s="44">
        <f>VLOOKUP(C21,Active!C$21:E$973,3,FALSE)</f>
        <v>1388.0018592118822</v>
      </c>
      <c r="F21" s="10" t="s">
        <v>58</v>
      </c>
      <c r="G21" s="9" t="str">
        <f t="shared" si="4"/>
        <v>37546.467</v>
      </c>
      <c r="H21" s="12">
        <f t="shared" si="5"/>
        <v>1388</v>
      </c>
      <c r="I21" s="45" t="s">
        <v>78</v>
      </c>
      <c r="J21" s="46" t="s">
        <v>79</v>
      </c>
      <c r="K21" s="45">
        <v>1388</v>
      </c>
      <c r="L21" s="45" t="s">
        <v>80</v>
      </c>
      <c r="M21" s="46" t="s">
        <v>64</v>
      </c>
      <c r="N21" s="46"/>
      <c r="O21" s="47" t="s">
        <v>76</v>
      </c>
      <c r="P21" s="47" t="s">
        <v>77</v>
      </c>
    </row>
    <row r="22" spans="1:16" ht="12.75" customHeight="1" thickBot="1" x14ac:dyDescent="0.25">
      <c r="A22" s="12" t="str">
        <f t="shared" si="0"/>
        <v> MHAR 6.5 </v>
      </c>
      <c r="B22" s="10" t="str">
        <f t="shared" si="1"/>
        <v>I</v>
      </c>
      <c r="C22" s="12">
        <f t="shared" si="2"/>
        <v>38318.495999999999</v>
      </c>
      <c r="D22" s="9" t="str">
        <f t="shared" si="3"/>
        <v>vis</v>
      </c>
      <c r="E22" s="44">
        <f>VLOOKUP(C22,Active!C$21:E$973,3,FALSE)</f>
        <v>1543.0089316458541</v>
      </c>
      <c r="F22" s="10" t="s">
        <v>58</v>
      </c>
      <c r="G22" s="9" t="str">
        <f t="shared" si="4"/>
        <v>38318.496</v>
      </c>
      <c r="H22" s="12">
        <f t="shared" si="5"/>
        <v>1543</v>
      </c>
      <c r="I22" s="45" t="s">
        <v>81</v>
      </c>
      <c r="J22" s="46" t="s">
        <v>82</v>
      </c>
      <c r="K22" s="45">
        <v>1543</v>
      </c>
      <c r="L22" s="45" t="s">
        <v>83</v>
      </c>
      <c r="M22" s="46" t="s">
        <v>64</v>
      </c>
      <c r="N22" s="46"/>
      <c r="O22" s="47" t="s">
        <v>76</v>
      </c>
      <c r="P22" s="47" t="s">
        <v>77</v>
      </c>
    </row>
    <row r="23" spans="1:16" ht="12.75" customHeight="1" thickBot="1" x14ac:dyDescent="0.25">
      <c r="A23" s="12" t="str">
        <f t="shared" si="0"/>
        <v> MHAR 6.5 </v>
      </c>
      <c r="B23" s="10" t="str">
        <f t="shared" si="1"/>
        <v>I</v>
      </c>
      <c r="C23" s="12">
        <f t="shared" si="2"/>
        <v>38323.413999999997</v>
      </c>
      <c r="D23" s="9" t="str">
        <f t="shared" si="3"/>
        <v>vis</v>
      </c>
      <c r="E23" s="44">
        <f>VLOOKUP(C23,Active!C$21:E$973,3,FALSE)</f>
        <v>1543.9963618877621</v>
      </c>
      <c r="F23" s="10" t="s">
        <v>58</v>
      </c>
      <c r="G23" s="9" t="str">
        <f t="shared" si="4"/>
        <v>38323.414</v>
      </c>
      <c r="H23" s="12">
        <f t="shared" si="5"/>
        <v>1544</v>
      </c>
      <c r="I23" s="45" t="s">
        <v>84</v>
      </c>
      <c r="J23" s="46" t="s">
        <v>85</v>
      </c>
      <c r="K23" s="45">
        <v>1544</v>
      </c>
      <c r="L23" s="45" t="s">
        <v>86</v>
      </c>
      <c r="M23" s="46" t="s">
        <v>64</v>
      </c>
      <c r="N23" s="46"/>
      <c r="O23" s="47" t="s">
        <v>76</v>
      </c>
      <c r="P23" s="47" t="s">
        <v>77</v>
      </c>
    </row>
    <row r="24" spans="1:16" ht="12.75" customHeight="1" thickBot="1" x14ac:dyDescent="0.25">
      <c r="A24" s="12" t="str">
        <f t="shared" si="0"/>
        <v> MHAR 6.5 </v>
      </c>
      <c r="B24" s="10" t="str">
        <f t="shared" si="1"/>
        <v>I</v>
      </c>
      <c r="C24" s="12">
        <f t="shared" si="2"/>
        <v>38348.385999999999</v>
      </c>
      <c r="D24" s="9" t="str">
        <f t="shared" si="3"/>
        <v>vis</v>
      </c>
      <c r="E24" s="44">
        <f>VLOOKUP(C24,Active!C$21:E$973,3,FALSE)</f>
        <v>1549.0102106069439</v>
      </c>
      <c r="F24" s="10" t="s">
        <v>58</v>
      </c>
      <c r="G24" s="9" t="str">
        <f t="shared" si="4"/>
        <v>38348.386</v>
      </c>
      <c r="H24" s="12">
        <f t="shared" si="5"/>
        <v>1549</v>
      </c>
      <c r="I24" s="45" t="s">
        <v>87</v>
      </c>
      <c r="J24" s="46" t="s">
        <v>88</v>
      </c>
      <c r="K24" s="45">
        <v>1549</v>
      </c>
      <c r="L24" s="45" t="s">
        <v>89</v>
      </c>
      <c r="M24" s="46" t="s">
        <v>64</v>
      </c>
      <c r="N24" s="46"/>
      <c r="O24" s="47" t="s">
        <v>76</v>
      </c>
      <c r="P24" s="47" t="s">
        <v>77</v>
      </c>
    </row>
    <row r="25" spans="1:16" ht="12.75" customHeight="1" thickBot="1" x14ac:dyDescent="0.25">
      <c r="A25" s="12" t="str">
        <f t="shared" si="0"/>
        <v> MHAR 6.5 </v>
      </c>
      <c r="B25" s="10" t="str">
        <f t="shared" si="1"/>
        <v>I</v>
      </c>
      <c r="C25" s="12">
        <f t="shared" si="2"/>
        <v>38557.506000000001</v>
      </c>
      <c r="D25" s="9" t="str">
        <f t="shared" si="3"/>
        <v>vis</v>
      </c>
      <c r="E25" s="44">
        <f>VLOOKUP(C25,Active!C$21:E$973,3,FALSE)</f>
        <v>1590.9970776642599</v>
      </c>
      <c r="F25" s="10" t="s">
        <v>58</v>
      </c>
      <c r="G25" s="9" t="str">
        <f t="shared" si="4"/>
        <v>38557.506</v>
      </c>
      <c r="H25" s="12">
        <f t="shared" si="5"/>
        <v>1591</v>
      </c>
      <c r="I25" s="45" t="s">
        <v>90</v>
      </c>
      <c r="J25" s="46" t="s">
        <v>91</v>
      </c>
      <c r="K25" s="45">
        <v>1591</v>
      </c>
      <c r="L25" s="45" t="s">
        <v>92</v>
      </c>
      <c r="M25" s="46" t="s">
        <v>64</v>
      </c>
      <c r="N25" s="46"/>
      <c r="O25" s="47" t="s">
        <v>76</v>
      </c>
      <c r="P25" s="47" t="s">
        <v>77</v>
      </c>
    </row>
    <row r="26" spans="1:16" ht="12.75" customHeight="1" thickBot="1" x14ac:dyDescent="0.25">
      <c r="A26" s="12" t="str">
        <f t="shared" si="0"/>
        <v> MHAR 6.5 </v>
      </c>
      <c r="B26" s="10" t="str">
        <f t="shared" si="1"/>
        <v>II</v>
      </c>
      <c r="C26" s="12">
        <f t="shared" si="2"/>
        <v>39346.457000000002</v>
      </c>
      <c r="D26" s="9" t="str">
        <f t="shared" si="3"/>
        <v>vis</v>
      </c>
      <c r="E26" s="44">
        <f>VLOOKUP(C26,Active!C$21:E$973,3,FALSE)</f>
        <v>1749.401729307986</v>
      </c>
      <c r="F26" s="10" t="s">
        <v>58</v>
      </c>
      <c r="G26" s="9" t="str">
        <f t="shared" si="4"/>
        <v>39346.457</v>
      </c>
      <c r="H26" s="12">
        <f t="shared" si="5"/>
        <v>1749.5</v>
      </c>
      <c r="I26" s="45" t="s">
        <v>93</v>
      </c>
      <c r="J26" s="46" t="s">
        <v>94</v>
      </c>
      <c r="K26" s="45">
        <v>1749.5</v>
      </c>
      <c r="L26" s="45" t="s">
        <v>95</v>
      </c>
      <c r="M26" s="46" t="s">
        <v>64</v>
      </c>
      <c r="N26" s="46"/>
      <c r="O26" s="47" t="s">
        <v>76</v>
      </c>
      <c r="P26" s="47" t="s">
        <v>77</v>
      </c>
    </row>
    <row r="27" spans="1:16" ht="12.75" customHeight="1" thickBot="1" x14ac:dyDescent="0.25">
      <c r="A27" s="12" t="str">
        <f t="shared" si="0"/>
        <v> MHAR 6.5 </v>
      </c>
      <c r="B27" s="10" t="str">
        <f t="shared" si="1"/>
        <v>I</v>
      </c>
      <c r="C27" s="12">
        <f t="shared" si="2"/>
        <v>40101.510999999999</v>
      </c>
      <c r="D27" s="9" t="str">
        <f t="shared" si="3"/>
        <v>vis</v>
      </c>
      <c r="E27" s="44">
        <f>VLOOKUP(C27,Active!C$21:E$973,3,FALSE)</f>
        <v>1901.0005812546867</v>
      </c>
      <c r="F27" s="10" t="s">
        <v>58</v>
      </c>
      <c r="G27" s="9" t="str">
        <f t="shared" si="4"/>
        <v>40101.511</v>
      </c>
      <c r="H27" s="12">
        <f t="shared" si="5"/>
        <v>1901</v>
      </c>
      <c r="I27" s="45" t="s">
        <v>96</v>
      </c>
      <c r="J27" s="46" t="s">
        <v>97</v>
      </c>
      <c r="K27" s="45">
        <v>1901</v>
      </c>
      <c r="L27" s="45" t="s">
        <v>98</v>
      </c>
      <c r="M27" s="46" t="s">
        <v>64</v>
      </c>
      <c r="N27" s="46"/>
      <c r="O27" s="47" t="s">
        <v>76</v>
      </c>
      <c r="P27" s="47" t="s">
        <v>77</v>
      </c>
    </row>
    <row r="28" spans="1:16" ht="12.75" customHeight="1" thickBot="1" x14ac:dyDescent="0.25">
      <c r="A28" s="12" t="str">
        <f t="shared" si="0"/>
        <v> BBS 11 </v>
      </c>
      <c r="B28" s="10" t="str">
        <f t="shared" si="1"/>
        <v>I</v>
      </c>
      <c r="C28" s="12">
        <f t="shared" si="2"/>
        <v>41904.508000000002</v>
      </c>
      <c r="D28" s="9" t="str">
        <f t="shared" si="3"/>
        <v>vis</v>
      </c>
      <c r="E28" s="44">
        <f>VLOOKUP(C28,Active!C$21:E$973,3,FALSE)</f>
        <v>2263.0041932656777</v>
      </c>
      <c r="F28" s="10" t="s">
        <v>58</v>
      </c>
      <c r="G28" s="9" t="str">
        <f t="shared" si="4"/>
        <v>41904.508</v>
      </c>
      <c r="H28" s="12">
        <f t="shared" si="5"/>
        <v>2263</v>
      </c>
      <c r="I28" s="45" t="s">
        <v>99</v>
      </c>
      <c r="J28" s="46" t="s">
        <v>100</v>
      </c>
      <c r="K28" s="45">
        <v>2263</v>
      </c>
      <c r="L28" s="45" t="s">
        <v>101</v>
      </c>
      <c r="M28" s="46" t="s">
        <v>102</v>
      </c>
      <c r="N28" s="46"/>
      <c r="O28" s="47" t="s">
        <v>103</v>
      </c>
      <c r="P28" s="47" t="s">
        <v>104</v>
      </c>
    </row>
    <row r="29" spans="1:16" ht="12.75" customHeight="1" thickBot="1" x14ac:dyDescent="0.25">
      <c r="A29" s="12" t="str">
        <f t="shared" si="0"/>
        <v> BBS 15 </v>
      </c>
      <c r="B29" s="10" t="str">
        <f t="shared" si="1"/>
        <v>I</v>
      </c>
      <c r="C29" s="12">
        <f t="shared" si="2"/>
        <v>42158.504000000001</v>
      </c>
      <c r="D29" s="9" t="str">
        <f t="shared" si="3"/>
        <v>vis</v>
      </c>
      <c r="E29" s="44">
        <f>VLOOKUP(C29,Active!C$21:E$973,3,FALSE)</f>
        <v>2314.0012106962909</v>
      </c>
      <c r="F29" s="10" t="s">
        <v>58</v>
      </c>
      <c r="G29" s="9" t="str">
        <f t="shared" si="4"/>
        <v>42158.504</v>
      </c>
      <c r="H29" s="12">
        <f t="shared" si="5"/>
        <v>2314</v>
      </c>
      <c r="I29" s="45" t="s">
        <v>105</v>
      </c>
      <c r="J29" s="46" t="s">
        <v>106</v>
      </c>
      <c r="K29" s="45">
        <v>2314</v>
      </c>
      <c r="L29" s="45" t="s">
        <v>107</v>
      </c>
      <c r="M29" s="46" t="s">
        <v>102</v>
      </c>
      <c r="N29" s="46"/>
      <c r="O29" s="47" t="s">
        <v>108</v>
      </c>
      <c r="P29" s="47" t="s">
        <v>109</v>
      </c>
    </row>
    <row r="30" spans="1:16" ht="12.75" customHeight="1" thickBot="1" x14ac:dyDescent="0.25">
      <c r="A30" s="12" t="str">
        <f t="shared" si="0"/>
        <v> BBS 15 </v>
      </c>
      <c r="B30" s="10" t="str">
        <f t="shared" si="1"/>
        <v>I</v>
      </c>
      <c r="C30" s="12">
        <f t="shared" si="2"/>
        <v>42183.440999999999</v>
      </c>
      <c r="D30" s="9" t="str">
        <f t="shared" si="3"/>
        <v>vis</v>
      </c>
      <c r="E30" s="44">
        <f>VLOOKUP(C30,Active!C$21:E$973,3,FALSE)</f>
        <v>2319.0080321567357</v>
      </c>
      <c r="F30" s="10" t="s">
        <v>58</v>
      </c>
      <c r="G30" s="9" t="str">
        <f t="shared" si="4"/>
        <v>42183.441</v>
      </c>
      <c r="H30" s="12">
        <f t="shared" si="5"/>
        <v>2319</v>
      </c>
      <c r="I30" s="45" t="s">
        <v>110</v>
      </c>
      <c r="J30" s="46" t="s">
        <v>111</v>
      </c>
      <c r="K30" s="45">
        <v>2319</v>
      </c>
      <c r="L30" s="45" t="s">
        <v>112</v>
      </c>
      <c r="M30" s="46" t="s">
        <v>102</v>
      </c>
      <c r="N30" s="46"/>
      <c r="O30" s="47" t="s">
        <v>108</v>
      </c>
      <c r="P30" s="47" t="s">
        <v>109</v>
      </c>
    </row>
    <row r="31" spans="1:16" ht="12.75" customHeight="1" thickBot="1" x14ac:dyDescent="0.25">
      <c r="A31" s="12" t="str">
        <f t="shared" si="0"/>
        <v> BBS 15 </v>
      </c>
      <c r="B31" s="10" t="str">
        <f t="shared" si="1"/>
        <v>I</v>
      </c>
      <c r="C31" s="12">
        <f t="shared" si="2"/>
        <v>42193.41</v>
      </c>
      <c r="D31" s="9" t="str">
        <f t="shared" si="3"/>
        <v>vis</v>
      </c>
      <c r="E31" s="44">
        <f>VLOOKUP(C31,Active!C$21:E$973,3,FALSE)</f>
        <v>2321.0095962237529</v>
      </c>
      <c r="F31" s="10" t="s">
        <v>58</v>
      </c>
      <c r="G31" s="9" t="str">
        <f t="shared" si="4"/>
        <v>42193.410</v>
      </c>
      <c r="H31" s="12">
        <f t="shared" si="5"/>
        <v>2321</v>
      </c>
      <c r="I31" s="45" t="s">
        <v>113</v>
      </c>
      <c r="J31" s="46" t="s">
        <v>114</v>
      </c>
      <c r="K31" s="45">
        <v>2321</v>
      </c>
      <c r="L31" s="45" t="s">
        <v>115</v>
      </c>
      <c r="M31" s="46" t="s">
        <v>102</v>
      </c>
      <c r="N31" s="46"/>
      <c r="O31" s="47" t="s">
        <v>108</v>
      </c>
      <c r="P31" s="47" t="s">
        <v>109</v>
      </c>
    </row>
    <row r="32" spans="1:16" ht="12.75" customHeight="1" thickBot="1" x14ac:dyDescent="0.25">
      <c r="A32" s="12" t="str">
        <f t="shared" si="0"/>
        <v> BRNO 27 </v>
      </c>
      <c r="B32" s="10" t="str">
        <f t="shared" si="1"/>
        <v>I</v>
      </c>
      <c r="C32" s="12">
        <f t="shared" si="2"/>
        <v>46292.396999999997</v>
      </c>
      <c r="D32" s="9" t="str">
        <f t="shared" si="3"/>
        <v>vis</v>
      </c>
      <c r="E32" s="44">
        <f>VLOOKUP(C32,Active!C$21:E$973,3,FALSE)</f>
        <v>3143.9993735700778</v>
      </c>
      <c r="F32" s="10" t="s">
        <v>58</v>
      </c>
      <c r="G32" s="9" t="str">
        <f t="shared" si="4"/>
        <v>46292.397</v>
      </c>
      <c r="H32" s="12">
        <f t="shared" si="5"/>
        <v>3144</v>
      </c>
      <c r="I32" s="45" t="s">
        <v>120</v>
      </c>
      <c r="J32" s="46" t="s">
        <v>121</v>
      </c>
      <c r="K32" s="45">
        <v>3144</v>
      </c>
      <c r="L32" s="45" t="s">
        <v>60</v>
      </c>
      <c r="M32" s="46" t="s">
        <v>102</v>
      </c>
      <c r="N32" s="46"/>
      <c r="O32" s="47" t="s">
        <v>122</v>
      </c>
      <c r="P32" s="47" t="s">
        <v>123</v>
      </c>
    </row>
    <row r="33" spans="1:16" ht="12.75" customHeight="1" thickBot="1" x14ac:dyDescent="0.25">
      <c r="A33" s="12" t="str">
        <f t="shared" si="0"/>
        <v> BRNO 27 </v>
      </c>
      <c r="B33" s="10" t="str">
        <f t="shared" si="1"/>
        <v>I</v>
      </c>
      <c r="C33" s="12">
        <f t="shared" si="2"/>
        <v>46292.398999999998</v>
      </c>
      <c r="D33" s="9" t="str">
        <f t="shared" si="3"/>
        <v>vis</v>
      </c>
      <c r="E33" s="44">
        <f>VLOOKUP(C33,Active!C$21:E$973,3,FALSE)</f>
        <v>3143.9997751277201</v>
      </c>
      <c r="F33" s="10" t="s">
        <v>58</v>
      </c>
      <c r="G33" s="9" t="str">
        <f t="shared" si="4"/>
        <v>46292.399</v>
      </c>
      <c r="H33" s="12">
        <f t="shared" si="5"/>
        <v>3144</v>
      </c>
      <c r="I33" s="45" t="s">
        <v>124</v>
      </c>
      <c r="J33" s="46" t="s">
        <v>125</v>
      </c>
      <c r="K33" s="45">
        <v>3144</v>
      </c>
      <c r="L33" s="45" t="s">
        <v>126</v>
      </c>
      <c r="M33" s="46" t="s">
        <v>102</v>
      </c>
      <c r="N33" s="46"/>
      <c r="O33" s="47" t="s">
        <v>127</v>
      </c>
      <c r="P33" s="47" t="s">
        <v>123</v>
      </c>
    </row>
    <row r="34" spans="1:16" ht="12.75" customHeight="1" thickBot="1" x14ac:dyDescent="0.25">
      <c r="A34" s="12" t="str">
        <f t="shared" si="0"/>
        <v> BRNO 27 </v>
      </c>
      <c r="B34" s="10" t="str">
        <f t="shared" si="1"/>
        <v>I</v>
      </c>
      <c r="C34" s="12">
        <f t="shared" si="2"/>
        <v>46292.415000000001</v>
      </c>
      <c r="D34" s="9" t="str">
        <f t="shared" si="3"/>
        <v>vis</v>
      </c>
      <c r="E34" s="44">
        <f>VLOOKUP(C34,Active!C$21:E$973,3,FALSE)</f>
        <v>3144.0029875888572</v>
      </c>
      <c r="F34" s="10" t="s">
        <v>58</v>
      </c>
      <c r="G34" s="9" t="str">
        <f t="shared" si="4"/>
        <v>46292.415</v>
      </c>
      <c r="H34" s="12">
        <f t="shared" si="5"/>
        <v>3144</v>
      </c>
      <c r="I34" s="45" t="s">
        <v>128</v>
      </c>
      <c r="J34" s="46" t="s">
        <v>129</v>
      </c>
      <c r="K34" s="45">
        <v>3144</v>
      </c>
      <c r="L34" s="45" t="s">
        <v>130</v>
      </c>
      <c r="M34" s="46" t="s">
        <v>102</v>
      </c>
      <c r="N34" s="46"/>
      <c r="O34" s="47" t="s">
        <v>131</v>
      </c>
      <c r="P34" s="47" t="s">
        <v>123</v>
      </c>
    </row>
    <row r="35" spans="1:16" ht="12.75" customHeight="1" thickBot="1" x14ac:dyDescent="0.25">
      <c r="A35" s="12" t="str">
        <f t="shared" si="0"/>
        <v> BRNO 27 </v>
      </c>
      <c r="B35" s="10" t="str">
        <f t="shared" si="1"/>
        <v>I</v>
      </c>
      <c r="C35" s="12">
        <f t="shared" si="2"/>
        <v>46292.415999999997</v>
      </c>
      <c r="D35" s="9" t="str">
        <f t="shared" si="3"/>
        <v>vis</v>
      </c>
      <c r="E35" s="44">
        <f>VLOOKUP(C35,Active!C$21:E$973,3,FALSE)</f>
        <v>3144.0031883676779</v>
      </c>
      <c r="F35" s="10" t="s">
        <v>58</v>
      </c>
      <c r="G35" s="9" t="str">
        <f t="shared" si="4"/>
        <v>46292.416</v>
      </c>
      <c r="H35" s="12">
        <f t="shared" si="5"/>
        <v>3144</v>
      </c>
      <c r="I35" s="45" t="s">
        <v>132</v>
      </c>
      <c r="J35" s="46" t="s">
        <v>133</v>
      </c>
      <c r="K35" s="45">
        <v>3144</v>
      </c>
      <c r="L35" s="45" t="s">
        <v>134</v>
      </c>
      <c r="M35" s="46" t="s">
        <v>102</v>
      </c>
      <c r="N35" s="46"/>
      <c r="O35" s="47" t="s">
        <v>135</v>
      </c>
      <c r="P35" s="47" t="s">
        <v>123</v>
      </c>
    </row>
    <row r="36" spans="1:16" ht="12.75" customHeight="1" thickBot="1" x14ac:dyDescent="0.25">
      <c r="A36" s="12" t="str">
        <f t="shared" si="0"/>
        <v> BRNO 27 </v>
      </c>
      <c r="B36" s="10" t="str">
        <f t="shared" si="1"/>
        <v>I</v>
      </c>
      <c r="C36" s="12">
        <f t="shared" si="2"/>
        <v>46292.42</v>
      </c>
      <c r="D36" s="9" t="str">
        <f t="shared" si="3"/>
        <v>vis</v>
      </c>
      <c r="E36" s="44">
        <f>VLOOKUP(C36,Active!C$21:E$973,3,FALSE)</f>
        <v>3144.0039914829622</v>
      </c>
      <c r="F36" s="10" t="s">
        <v>58</v>
      </c>
      <c r="G36" s="9" t="str">
        <f t="shared" si="4"/>
        <v>46292.420</v>
      </c>
      <c r="H36" s="12">
        <f t="shared" si="5"/>
        <v>3144</v>
      </c>
      <c r="I36" s="45" t="s">
        <v>136</v>
      </c>
      <c r="J36" s="46" t="s">
        <v>137</v>
      </c>
      <c r="K36" s="45">
        <v>3144</v>
      </c>
      <c r="L36" s="45" t="s">
        <v>138</v>
      </c>
      <c r="M36" s="46" t="s">
        <v>102</v>
      </c>
      <c r="N36" s="46"/>
      <c r="O36" s="47" t="s">
        <v>139</v>
      </c>
      <c r="P36" s="47" t="s">
        <v>123</v>
      </c>
    </row>
    <row r="37" spans="1:16" ht="12.75" customHeight="1" thickBot="1" x14ac:dyDescent="0.25">
      <c r="A37" s="12" t="str">
        <f t="shared" si="0"/>
        <v> BRNO 27 </v>
      </c>
      <c r="B37" s="10" t="str">
        <f t="shared" si="1"/>
        <v>I</v>
      </c>
      <c r="C37" s="12">
        <f t="shared" si="2"/>
        <v>46292.421999999999</v>
      </c>
      <c r="D37" s="9" t="str">
        <f t="shared" si="3"/>
        <v>vis</v>
      </c>
      <c r="E37" s="44">
        <f>VLOOKUP(C37,Active!C$21:E$973,3,FALSE)</f>
        <v>3144.0043930406041</v>
      </c>
      <c r="F37" s="10" t="s">
        <v>58</v>
      </c>
      <c r="G37" s="9" t="str">
        <f t="shared" si="4"/>
        <v>46292.422</v>
      </c>
      <c r="H37" s="12">
        <f t="shared" si="5"/>
        <v>3144</v>
      </c>
      <c r="I37" s="45" t="s">
        <v>140</v>
      </c>
      <c r="J37" s="46" t="s">
        <v>141</v>
      </c>
      <c r="K37" s="45">
        <v>3144</v>
      </c>
      <c r="L37" s="45" t="s">
        <v>142</v>
      </c>
      <c r="M37" s="46" t="s">
        <v>102</v>
      </c>
      <c r="N37" s="46"/>
      <c r="O37" s="47" t="s">
        <v>143</v>
      </c>
      <c r="P37" s="47" t="s">
        <v>123</v>
      </c>
    </row>
    <row r="38" spans="1:16" ht="12.75" customHeight="1" thickBot="1" x14ac:dyDescent="0.25">
      <c r="A38" s="12" t="str">
        <f t="shared" si="0"/>
        <v> BRNO 27 </v>
      </c>
      <c r="B38" s="10" t="str">
        <f t="shared" si="1"/>
        <v>I</v>
      </c>
      <c r="C38" s="12">
        <f t="shared" si="2"/>
        <v>46292.425999999999</v>
      </c>
      <c r="D38" s="9" t="str">
        <f t="shared" si="3"/>
        <v>vis</v>
      </c>
      <c r="E38" s="44">
        <f>VLOOKUP(C38,Active!C$21:E$973,3,FALSE)</f>
        <v>3144.0051961558888</v>
      </c>
      <c r="F38" s="10" t="s">
        <v>58</v>
      </c>
      <c r="G38" s="9" t="str">
        <f t="shared" si="4"/>
        <v>46292.426</v>
      </c>
      <c r="H38" s="12">
        <f t="shared" si="5"/>
        <v>3144</v>
      </c>
      <c r="I38" s="45" t="s">
        <v>144</v>
      </c>
      <c r="J38" s="46" t="s">
        <v>145</v>
      </c>
      <c r="K38" s="45">
        <v>3144</v>
      </c>
      <c r="L38" s="45" t="s">
        <v>146</v>
      </c>
      <c r="M38" s="46" t="s">
        <v>102</v>
      </c>
      <c r="N38" s="46"/>
      <c r="O38" s="47" t="s">
        <v>147</v>
      </c>
      <c r="P38" s="47" t="s">
        <v>123</v>
      </c>
    </row>
    <row r="39" spans="1:16" ht="12.75" customHeight="1" thickBot="1" x14ac:dyDescent="0.25">
      <c r="A39" s="12" t="str">
        <f t="shared" si="0"/>
        <v> BRNO 27 </v>
      </c>
      <c r="B39" s="10" t="str">
        <f t="shared" si="1"/>
        <v>I</v>
      </c>
      <c r="C39" s="12">
        <f t="shared" si="2"/>
        <v>46292.428</v>
      </c>
      <c r="D39" s="9" t="str">
        <f t="shared" si="3"/>
        <v>vis</v>
      </c>
      <c r="E39" s="44">
        <f>VLOOKUP(C39,Active!C$21:E$973,3,FALSE)</f>
        <v>3144.0055977135307</v>
      </c>
      <c r="F39" s="10" t="s">
        <v>58</v>
      </c>
      <c r="G39" s="9" t="str">
        <f t="shared" si="4"/>
        <v>46292.428</v>
      </c>
      <c r="H39" s="12">
        <f t="shared" si="5"/>
        <v>3144</v>
      </c>
      <c r="I39" s="45" t="s">
        <v>148</v>
      </c>
      <c r="J39" s="46" t="s">
        <v>149</v>
      </c>
      <c r="K39" s="45">
        <v>3144</v>
      </c>
      <c r="L39" s="45" t="s">
        <v>75</v>
      </c>
      <c r="M39" s="46" t="s">
        <v>102</v>
      </c>
      <c r="N39" s="46"/>
      <c r="O39" s="47" t="s">
        <v>150</v>
      </c>
      <c r="P39" s="47" t="s">
        <v>123</v>
      </c>
    </row>
    <row r="40" spans="1:16" ht="12.75" customHeight="1" thickBot="1" x14ac:dyDescent="0.25">
      <c r="A40" s="12" t="str">
        <f t="shared" si="0"/>
        <v> BRNO 32 </v>
      </c>
      <c r="B40" s="10" t="str">
        <f t="shared" si="1"/>
        <v>I</v>
      </c>
      <c r="C40" s="12">
        <f t="shared" si="2"/>
        <v>50665.399700000002</v>
      </c>
      <c r="D40" s="9" t="str">
        <f t="shared" si="3"/>
        <v>vis</v>
      </c>
      <c r="E40" s="44">
        <f>VLOOKUP(C40,Active!C$21:E$973,3,FALSE)</f>
        <v>4022.0057001107298</v>
      </c>
      <c r="F40" s="10" t="s">
        <v>58</v>
      </c>
      <c r="G40" s="9" t="str">
        <f t="shared" si="4"/>
        <v>50665.3997</v>
      </c>
      <c r="H40" s="12">
        <f t="shared" si="5"/>
        <v>4022</v>
      </c>
      <c r="I40" s="45" t="s">
        <v>156</v>
      </c>
      <c r="J40" s="46" t="s">
        <v>157</v>
      </c>
      <c r="K40" s="45">
        <v>4022</v>
      </c>
      <c r="L40" s="45" t="s">
        <v>158</v>
      </c>
      <c r="M40" s="46" t="s">
        <v>102</v>
      </c>
      <c r="N40" s="46"/>
      <c r="O40" s="47" t="s">
        <v>159</v>
      </c>
      <c r="P40" s="47" t="s">
        <v>160</v>
      </c>
    </row>
    <row r="41" spans="1:16" ht="12.75" customHeight="1" thickBot="1" x14ac:dyDescent="0.25">
      <c r="A41" s="12" t="str">
        <f t="shared" si="0"/>
        <v> BRNO 32 </v>
      </c>
      <c r="B41" s="10" t="str">
        <f t="shared" si="1"/>
        <v>I</v>
      </c>
      <c r="C41" s="12">
        <f t="shared" si="2"/>
        <v>50665.399700000002</v>
      </c>
      <c r="D41" s="9" t="str">
        <f t="shared" si="3"/>
        <v>vis</v>
      </c>
      <c r="E41" s="44">
        <f>VLOOKUP(C41,Active!C$21:E$973,3,FALSE)</f>
        <v>4022.0057001107298</v>
      </c>
      <c r="F41" s="10" t="s">
        <v>58</v>
      </c>
      <c r="G41" s="9" t="str">
        <f t="shared" si="4"/>
        <v>50665.3997</v>
      </c>
      <c r="H41" s="12">
        <f t="shared" si="5"/>
        <v>4022</v>
      </c>
      <c r="I41" s="45" t="s">
        <v>156</v>
      </c>
      <c r="J41" s="46" t="s">
        <v>157</v>
      </c>
      <c r="K41" s="45">
        <v>4022</v>
      </c>
      <c r="L41" s="45" t="s">
        <v>158</v>
      </c>
      <c r="M41" s="46" t="s">
        <v>102</v>
      </c>
      <c r="N41" s="46"/>
      <c r="O41" s="47" t="s">
        <v>161</v>
      </c>
      <c r="P41" s="47" t="s">
        <v>160</v>
      </c>
    </row>
    <row r="42" spans="1:16" ht="12.75" customHeight="1" thickBot="1" x14ac:dyDescent="0.25">
      <c r="A42" s="12" t="str">
        <f t="shared" si="0"/>
        <v> BRNO 32 </v>
      </c>
      <c r="B42" s="10" t="str">
        <f t="shared" si="1"/>
        <v>I</v>
      </c>
      <c r="C42" s="12">
        <f t="shared" si="2"/>
        <v>50665.410799999998</v>
      </c>
      <c r="D42" s="9" t="str">
        <f t="shared" si="3"/>
        <v>vis</v>
      </c>
      <c r="E42" s="44">
        <f>VLOOKUP(C42,Active!C$21:E$973,3,FALSE)</f>
        <v>4022.0079287556428</v>
      </c>
      <c r="F42" s="10" t="s">
        <v>58</v>
      </c>
      <c r="G42" s="9" t="str">
        <f t="shared" si="4"/>
        <v>50665.4108</v>
      </c>
      <c r="H42" s="12">
        <f t="shared" si="5"/>
        <v>4022</v>
      </c>
      <c r="I42" s="45" t="s">
        <v>162</v>
      </c>
      <c r="J42" s="46" t="s">
        <v>163</v>
      </c>
      <c r="K42" s="45">
        <v>4022</v>
      </c>
      <c r="L42" s="45" t="s">
        <v>164</v>
      </c>
      <c r="M42" s="46" t="s">
        <v>102</v>
      </c>
      <c r="N42" s="46"/>
      <c r="O42" s="47" t="s">
        <v>165</v>
      </c>
      <c r="P42" s="47" t="s">
        <v>160</v>
      </c>
    </row>
    <row r="43" spans="1:16" ht="12.75" customHeight="1" thickBot="1" x14ac:dyDescent="0.25">
      <c r="A43" s="12" t="str">
        <f t="shared" si="0"/>
        <v> BBS 127 </v>
      </c>
      <c r="B43" s="10" t="str">
        <f t="shared" si="1"/>
        <v>I</v>
      </c>
      <c r="C43" s="12">
        <f t="shared" si="2"/>
        <v>51432.43</v>
      </c>
      <c r="D43" s="9" t="str">
        <f t="shared" si="3"/>
        <v>vis</v>
      </c>
      <c r="E43" s="44">
        <f>VLOOKUP(C43,Active!C$21:E$973,3,FALSE)</f>
        <v>4176.0091394519341</v>
      </c>
      <c r="F43" s="10" t="s">
        <v>58</v>
      </c>
      <c r="G43" s="9" t="str">
        <f t="shared" si="4"/>
        <v>51432.430</v>
      </c>
      <c r="H43" s="12">
        <f t="shared" si="5"/>
        <v>4176</v>
      </c>
      <c r="I43" s="45" t="s">
        <v>166</v>
      </c>
      <c r="J43" s="46" t="s">
        <v>167</v>
      </c>
      <c r="K43" s="45">
        <v>4176</v>
      </c>
      <c r="L43" s="45" t="s">
        <v>168</v>
      </c>
      <c r="M43" s="46" t="s">
        <v>102</v>
      </c>
      <c r="N43" s="46"/>
      <c r="O43" s="47" t="s">
        <v>154</v>
      </c>
      <c r="P43" s="47" t="s">
        <v>169</v>
      </c>
    </row>
    <row r="44" spans="1:16" ht="12.75" customHeight="1" thickBot="1" x14ac:dyDescent="0.25">
      <c r="A44" s="12" t="str">
        <f t="shared" si="0"/>
        <v> BRNO 32 </v>
      </c>
      <c r="B44" s="10" t="str">
        <f t="shared" si="1"/>
        <v>I</v>
      </c>
      <c r="C44" s="12">
        <f t="shared" si="2"/>
        <v>51437.382700000002</v>
      </c>
      <c r="D44" s="9" t="str">
        <f t="shared" si="3"/>
        <v>vis</v>
      </c>
      <c r="E44" s="44">
        <f>VLOOKUP(C44,Active!C$21:E$973,3,FALSE)</f>
        <v>4177.003536718933</v>
      </c>
      <c r="F44" s="10" t="s">
        <v>58</v>
      </c>
      <c r="G44" s="9" t="str">
        <f t="shared" si="4"/>
        <v>51437.3827</v>
      </c>
      <c r="H44" s="12">
        <f t="shared" si="5"/>
        <v>4177</v>
      </c>
      <c r="I44" s="45" t="s">
        <v>170</v>
      </c>
      <c r="J44" s="46" t="s">
        <v>171</v>
      </c>
      <c r="K44" s="45">
        <v>4177</v>
      </c>
      <c r="L44" s="45" t="s">
        <v>172</v>
      </c>
      <c r="M44" s="46" t="s">
        <v>173</v>
      </c>
      <c r="N44" s="46" t="s">
        <v>174</v>
      </c>
      <c r="O44" s="47" t="s">
        <v>175</v>
      </c>
      <c r="P44" s="47" t="s">
        <v>160</v>
      </c>
    </row>
    <row r="45" spans="1:16" ht="12.75" customHeight="1" thickBot="1" x14ac:dyDescent="0.25">
      <c r="A45" s="12" t="str">
        <f t="shared" si="0"/>
        <v> BBS 127 </v>
      </c>
      <c r="B45" s="10" t="str">
        <f t="shared" si="1"/>
        <v>I</v>
      </c>
      <c r="C45" s="12">
        <f t="shared" si="2"/>
        <v>52224.322999999997</v>
      </c>
      <c r="D45" s="9" t="str">
        <f t="shared" si="3"/>
        <v>vis</v>
      </c>
      <c r="E45" s="44">
        <f>VLOOKUP(C45,Active!C$21:E$973,3,FALSE)</f>
        <v>4335.0044823871795</v>
      </c>
      <c r="F45" s="10" t="s">
        <v>58</v>
      </c>
      <c r="G45" s="9" t="str">
        <f t="shared" si="4"/>
        <v>52224.323</v>
      </c>
      <c r="H45" s="12">
        <f t="shared" si="5"/>
        <v>4335</v>
      </c>
      <c r="I45" s="45" t="s">
        <v>176</v>
      </c>
      <c r="J45" s="46" t="s">
        <v>177</v>
      </c>
      <c r="K45" s="45">
        <v>4335</v>
      </c>
      <c r="L45" s="45" t="s">
        <v>142</v>
      </c>
      <c r="M45" s="46" t="s">
        <v>102</v>
      </c>
      <c r="N45" s="46"/>
      <c r="O45" s="47" t="s">
        <v>154</v>
      </c>
      <c r="P45" s="47" t="s">
        <v>169</v>
      </c>
    </row>
    <row r="46" spans="1:16" x14ac:dyDescent="0.2">
      <c r="B46" s="10"/>
      <c r="F46" s="10"/>
    </row>
    <row r="47" spans="1:16" x14ac:dyDescent="0.2">
      <c r="B47" s="10"/>
      <c r="F47" s="10"/>
    </row>
    <row r="48" spans="1:16" x14ac:dyDescent="0.2">
      <c r="B48" s="10"/>
      <c r="F48" s="10"/>
    </row>
    <row r="49" spans="2:6" x14ac:dyDescent="0.2">
      <c r="B49" s="10"/>
      <c r="F49" s="10"/>
    </row>
    <row r="50" spans="2:6" x14ac:dyDescent="0.2">
      <c r="B50" s="10"/>
      <c r="F50" s="10"/>
    </row>
    <row r="51" spans="2:6" x14ac:dyDescent="0.2">
      <c r="B51" s="10"/>
      <c r="F51" s="10"/>
    </row>
    <row r="52" spans="2:6" x14ac:dyDescent="0.2">
      <c r="B52" s="10"/>
      <c r="F52" s="10"/>
    </row>
    <row r="53" spans="2:6" x14ac:dyDescent="0.2">
      <c r="B53" s="10"/>
      <c r="F53" s="10"/>
    </row>
    <row r="54" spans="2:6" x14ac:dyDescent="0.2">
      <c r="B54" s="10"/>
      <c r="F54" s="10"/>
    </row>
    <row r="55" spans="2:6" x14ac:dyDescent="0.2">
      <c r="B55" s="10"/>
      <c r="F55" s="10"/>
    </row>
    <row r="56" spans="2:6" x14ac:dyDescent="0.2">
      <c r="B56" s="10"/>
      <c r="F56" s="10"/>
    </row>
    <row r="57" spans="2:6" x14ac:dyDescent="0.2">
      <c r="B57" s="10"/>
      <c r="F57" s="10"/>
    </row>
    <row r="58" spans="2:6" x14ac:dyDescent="0.2">
      <c r="B58" s="10"/>
      <c r="F58" s="10"/>
    </row>
    <row r="59" spans="2:6" x14ac:dyDescent="0.2">
      <c r="B59" s="10"/>
      <c r="F59" s="10"/>
    </row>
    <row r="60" spans="2:6" x14ac:dyDescent="0.2">
      <c r="B60" s="10"/>
      <c r="F60" s="10"/>
    </row>
    <row r="61" spans="2:6" x14ac:dyDescent="0.2">
      <c r="B61" s="10"/>
      <c r="F61" s="10"/>
    </row>
    <row r="62" spans="2:6" x14ac:dyDescent="0.2">
      <c r="B62" s="10"/>
      <c r="F62" s="10"/>
    </row>
    <row r="63" spans="2:6" x14ac:dyDescent="0.2">
      <c r="B63" s="10"/>
      <c r="F63" s="10"/>
    </row>
    <row r="64" spans="2:6" x14ac:dyDescent="0.2">
      <c r="B64" s="10"/>
      <c r="F64" s="10"/>
    </row>
    <row r="65" spans="2:6" x14ac:dyDescent="0.2">
      <c r="B65" s="10"/>
      <c r="F65" s="10"/>
    </row>
    <row r="66" spans="2:6" x14ac:dyDescent="0.2">
      <c r="B66" s="10"/>
      <c r="F66" s="10"/>
    </row>
    <row r="67" spans="2:6" x14ac:dyDescent="0.2">
      <c r="B67" s="10"/>
      <c r="F67" s="10"/>
    </row>
    <row r="68" spans="2:6" x14ac:dyDescent="0.2">
      <c r="B68" s="10"/>
      <c r="F68" s="10"/>
    </row>
    <row r="69" spans="2:6" x14ac:dyDescent="0.2">
      <c r="B69" s="10"/>
      <c r="F69" s="10"/>
    </row>
    <row r="70" spans="2:6" x14ac:dyDescent="0.2">
      <c r="B70" s="10"/>
      <c r="F70" s="10"/>
    </row>
    <row r="71" spans="2:6" x14ac:dyDescent="0.2">
      <c r="B71" s="10"/>
      <c r="F71" s="10"/>
    </row>
    <row r="72" spans="2:6" x14ac:dyDescent="0.2">
      <c r="B72" s="10"/>
      <c r="F72" s="10"/>
    </row>
    <row r="73" spans="2:6" x14ac:dyDescent="0.2">
      <c r="B73" s="10"/>
      <c r="F73" s="10"/>
    </row>
    <row r="74" spans="2:6" x14ac:dyDescent="0.2">
      <c r="B74" s="10"/>
      <c r="F74" s="10"/>
    </row>
    <row r="75" spans="2:6" x14ac:dyDescent="0.2">
      <c r="B75" s="10"/>
      <c r="F75" s="10"/>
    </row>
    <row r="76" spans="2:6" x14ac:dyDescent="0.2">
      <c r="B76" s="10"/>
      <c r="F76" s="10"/>
    </row>
    <row r="77" spans="2:6" x14ac:dyDescent="0.2">
      <c r="B77" s="10"/>
      <c r="F77" s="10"/>
    </row>
    <row r="78" spans="2:6" x14ac:dyDescent="0.2">
      <c r="B78" s="10"/>
      <c r="F78" s="10"/>
    </row>
    <row r="79" spans="2:6" x14ac:dyDescent="0.2">
      <c r="B79" s="10"/>
      <c r="F79" s="10"/>
    </row>
    <row r="80" spans="2:6" x14ac:dyDescent="0.2">
      <c r="B80" s="10"/>
      <c r="F80" s="10"/>
    </row>
    <row r="81" spans="2:6" x14ac:dyDescent="0.2">
      <c r="B81" s="10"/>
      <c r="F81" s="10"/>
    </row>
    <row r="82" spans="2:6" x14ac:dyDescent="0.2">
      <c r="B82" s="10"/>
      <c r="F82" s="10"/>
    </row>
    <row r="83" spans="2:6" x14ac:dyDescent="0.2">
      <c r="B83" s="10"/>
      <c r="F83" s="10"/>
    </row>
    <row r="84" spans="2:6" x14ac:dyDescent="0.2">
      <c r="B84" s="10"/>
      <c r="F84" s="10"/>
    </row>
    <row r="85" spans="2:6" x14ac:dyDescent="0.2">
      <c r="B85" s="10"/>
      <c r="F85" s="10"/>
    </row>
    <row r="86" spans="2:6" x14ac:dyDescent="0.2">
      <c r="B86" s="10"/>
      <c r="F86" s="10"/>
    </row>
    <row r="87" spans="2:6" x14ac:dyDescent="0.2">
      <c r="B87" s="10"/>
      <c r="F87" s="10"/>
    </row>
    <row r="88" spans="2:6" x14ac:dyDescent="0.2">
      <c r="B88" s="10"/>
      <c r="F88" s="10"/>
    </row>
    <row r="89" spans="2:6" x14ac:dyDescent="0.2">
      <c r="B89" s="10"/>
      <c r="F89" s="10"/>
    </row>
    <row r="90" spans="2:6" x14ac:dyDescent="0.2">
      <c r="B90" s="10"/>
      <c r="F90" s="10"/>
    </row>
    <row r="91" spans="2:6" x14ac:dyDescent="0.2">
      <c r="B91" s="10"/>
      <c r="F91" s="10"/>
    </row>
    <row r="92" spans="2:6" x14ac:dyDescent="0.2">
      <c r="B92" s="10"/>
      <c r="F92" s="10"/>
    </row>
    <row r="93" spans="2:6" x14ac:dyDescent="0.2">
      <c r="B93" s="10"/>
      <c r="F93" s="10"/>
    </row>
    <row r="94" spans="2:6" x14ac:dyDescent="0.2">
      <c r="B94" s="10"/>
      <c r="F94" s="10"/>
    </row>
    <row r="95" spans="2:6" x14ac:dyDescent="0.2">
      <c r="B95" s="10"/>
      <c r="F95" s="10"/>
    </row>
    <row r="96" spans="2:6" x14ac:dyDescent="0.2">
      <c r="B96" s="10"/>
      <c r="F96" s="10"/>
    </row>
    <row r="97" spans="2:6" x14ac:dyDescent="0.2">
      <c r="B97" s="10"/>
      <c r="F97" s="10"/>
    </row>
    <row r="98" spans="2:6" x14ac:dyDescent="0.2">
      <c r="B98" s="10"/>
      <c r="F98" s="10"/>
    </row>
    <row r="99" spans="2:6" x14ac:dyDescent="0.2">
      <c r="B99" s="10"/>
      <c r="F99" s="10"/>
    </row>
    <row r="100" spans="2:6" x14ac:dyDescent="0.2">
      <c r="B100" s="10"/>
      <c r="F100" s="10"/>
    </row>
    <row r="101" spans="2:6" x14ac:dyDescent="0.2">
      <c r="B101" s="10"/>
      <c r="F101" s="10"/>
    </row>
    <row r="102" spans="2:6" x14ac:dyDescent="0.2">
      <c r="B102" s="10"/>
      <c r="F102" s="10"/>
    </row>
    <row r="103" spans="2:6" x14ac:dyDescent="0.2">
      <c r="B103" s="10"/>
      <c r="F103" s="10"/>
    </row>
    <row r="104" spans="2:6" x14ac:dyDescent="0.2">
      <c r="B104" s="10"/>
      <c r="F104" s="10"/>
    </row>
    <row r="105" spans="2:6" x14ac:dyDescent="0.2">
      <c r="B105" s="10"/>
      <c r="F105" s="10"/>
    </row>
    <row r="106" spans="2:6" x14ac:dyDescent="0.2">
      <c r="B106" s="10"/>
      <c r="F106" s="10"/>
    </row>
    <row r="107" spans="2:6" x14ac:dyDescent="0.2">
      <c r="B107" s="10"/>
      <c r="F107" s="10"/>
    </row>
    <row r="108" spans="2:6" x14ac:dyDescent="0.2">
      <c r="B108" s="10"/>
      <c r="F108" s="10"/>
    </row>
    <row r="109" spans="2:6" x14ac:dyDescent="0.2">
      <c r="B109" s="10"/>
      <c r="F109" s="10"/>
    </row>
    <row r="110" spans="2:6" x14ac:dyDescent="0.2">
      <c r="B110" s="10"/>
      <c r="F110" s="10"/>
    </row>
    <row r="111" spans="2:6" x14ac:dyDescent="0.2">
      <c r="B111" s="10"/>
      <c r="F111" s="10"/>
    </row>
    <row r="112" spans="2: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</sheetData>
  <phoneticPr fontId="7" type="noConversion"/>
  <hyperlinks>
    <hyperlink ref="P18" r:id="rId1" display="http://www.konkoly.hu/cgi-bin/IBVS?749"/>
    <hyperlink ref="P11" r:id="rId2" display="http://www.konkoly.hu/cgi-bin/IBVS?749"/>
    <hyperlink ref="P19" r:id="rId3" display="http://www.konkoly.hu/cgi-bin/IBVS?749"/>
    <hyperlink ref="P15" r:id="rId4" display="http://www.bav-astro.de/sfs/BAVM_link.php?BAVMnr=183"/>
    <hyperlink ref="P16" r:id="rId5" display="http://www.bav-astro.de/sfs/BAVM_link.php?BAVMnr=186"/>
    <hyperlink ref="P17" r:id="rId6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2024-01-23T03:44:09Z</dcterms:modified>
</cp:coreProperties>
</file>