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8BE25B8-7C22-46FA-AB46-46D9506A8D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40" i="2" l="1"/>
  <c r="F40" i="2" s="1"/>
  <c r="G40" i="2" s="1"/>
  <c r="K40" i="2" s="1"/>
  <c r="Q40" i="2"/>
  <c r="E39" i="2"/>
  <c r="F39" i="2"/>
  <c r="G39" i="2"/>
  <c r="K39" i="2"/>
  <c r="Q39" i="2"/>
  <c r="E38" i="2"/>
  <c r="F38" i="2"/>
  <c r="G38" i="2"/>
  <c r="K38" i="2"/>
  <c r="E21" i="2"/>
  <c r="F21" i="2"/>
  <c r="G21" i="2"/>
  <c r="J21" i="2"/>
  <c r="E22" i="2"/>
  <c r="F22" i="2"/>
  <c r="G22" i="2"/>
  <c r="J22" i="2"/>
  <c r="E23" i="2"/>
  <c r="F23" i="2"/>
  <c r="G23" i="2"/>
  <c r="J23" i="2"/>
  <c r="E24" i="2"/>
  <c r="F24" i="2"/>
  <c r="G24" i="2"/>
  <c r="J24" i="2"/>
  <c r="E25" i="2"/>
  <c r="F25" i="2"/>
  <c r="G25" i="2"/>
  <c r="J25" i="2"/>
  <c r="E26" i="2"/>
  <c r="F26" i="2"/>
  <c r="G26" i="2"/>
  <c r="J26" i="2"/>
  <c r="E27" i="2"/>
  <c r="F27" i="2"/>
  <c r="G27" i="2"/>
  <c r="I27" i="2"/>
  <c r="E28" i="2"/>
  <c r="F28" i="2"/>
  <c r="G28" i="2"/>
  <c r="J28" i="2"/>
  <c r="E29" i="2"/>
  <c r="F29" i="2"/>
  <c r="G29" i="2"/>
  <c r="J29" i="2"/>
  <c r="E30" i="2"/>
  <c r="F30" i="2"/>
  <c r="G30" i="2"/>
  <c r="J30" i="2"/>
  <c r="E31" i="2"/>
  <c r="F31" i="2"/>
  <c r="G31" i="2"/>
  <c r="J31" i="2"/>
  <c r="E32" i="2"/>
  <c r="F32" i="2"/>
  <c r="G32" i="2"/>
  <c r="J32" i="2"/>
  <c r="E33" i="2"/>
  <c r="F33" i="2"/>
  <c r="G33" i="2"/>
  <c r="K33" i="2"/>
  <c r="E34" i="2"/>
  <c r="F34" i="2"/>
  <c r="G34" i="2"/>
  <c r="K34" i="2"/>
  <c r="E35" i="2"/>
  <c r="F35" i="2"/>
  <c r="G35" i="2"/>
  <c r="K35" i="2"/>
  <c r="E36" i="2"/>
  <c r="F36" i="2"/>
  <c r="G36" i="2"/>
  <c r="K36" i="2"/>
  <c r="E37" i="2"/>
  <c r="F37" i="2"/>
  <c r="G37" i="2"/>
  <c r="J37" i="2"/>
  <c r="Q38" i="2"/>
  <c r="D9" i="2"/>
  <c r="C9" i="2"/>
  <c r="Q27" i="2"/>
  <c r="Q29" i="2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26" i="3"/>
  <c r="C26" i="3"/>
  <c r="E26" i="3"/>
  <c r="G25" i="3"/>
  <c r="C25" i="3"/>
  <c r="E25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26" i="3"/>
  <c r="B26" i="3"/>
  <c r="D26" i="3"/>
  <c r="A26" i="3"/>
  <c r="H25" i="3"/>
  <c r="B25" i="3"/>
  <c r="D25" i="3"/>
  <c r="A25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Q37" i="2"/>
  <c r="Q36" i="2"/>
  <c r="Q35" i="2"/>
  <c r="Q34" i="2"/>
  <c r="Q33" i="2"/>
  <c r="F16" i="2"/>
  <c r="F17" i="2" s="1"/>
  <c r="C17" i="2"/>
  <c r="Q26" i="2"/>
  <c r="Q25" i="2"/>
  <c r="Q24" i="2"/>
  <c r="Q23" i="2"/>
  <c r="Q22" i="2"/>
  <c r="Q21" i="2"/>
  <c r="Q28" i="2"/>
  <c r="Q30" i="2"/>
  <c r="Q31" i="2"/>
  <c r="Q32" i="2"/>
  <c r="E22" i="1"/>
  <c r="F22" i="1"/>
  <c r="G22" i="1"/>
  <c r="H22" i="1"/>
  <c r="E23" i="1"/>
  <c r="F23" i="1"/>
  <c r="G23" i="1"/>
  <c r="H23" i="1"/>
  <c r="E24" i="1"/>
  <c r="F24" i="1"/>
  <c r="G24" i="1"/>
  <c r="H24" i="1"/>
  <c r="Q22" i="1"/>
  <c r="Q23" i="1"/>
  <c r="Q24" i="1"/>
  <c r="E21" i="1"/>
  <c r="F21" i="1"/>
  <c r="G21" i="1"/>
  <c r="E15" i="1"/>
  <c r="E16" i="1" s="1"/>
  <c r="E17" i="1" s="1"/>
  <c r="C17" i="1"/>
  <c r="Q21" i="1"/>
  <c r="H21" i="1"/>
  <c r="C11" i="1"/>
  <c r="C12" i="1"/>
  <c r="C16" i="1"/>
  <c r="D18" i="1"/>
  <c r="C15" i="1"/>
  <c r="O24" i="1"/>
  <c r="O22" i="1"/>
  <c r="O23" i="1"/>
  <c r="O21" i="1"/>
  <c r="C18" i="1"/>
  <c r="C11" i="2"/>
  <c r="C12" i="2"/>
  <c r="O40" i="2" l="1"/>
  <c r="C16" i="2"/>
  <c r="D18" i="2" s="1"/>
  <c r="O25" i="2"/>
  <c r="O39" i="2"/>
  <c r="O29" i="2"/>
  <c r="O23" i="2"/>
  <c r="O36" i="2"/>
  <c r="O37" i="2"/>
  <c r="O32" i="2"/>
  <c r="O33" i="2"/>
  <c r="O35" i="2"/>
  <c r="O34" i="2"/>
  <c r="O24" i="2"/>
  <c r="O27" i="2"/>
  <c r="O30" i="2"/>
  <c r="O31" i="2"/>
  <c r="O38" i="2"/>
  <c r="O21" i="2"/>
  <c r="C15" i="2"/>
  <c r="F18" i="2" s="1"/>
  <c r="O26" i="2"/>
  <c r="O28" i="2"/>
  <c r="O22" i="2"/>
  <c r="F19" i="2" l="1"/>
  <c r="C18" i="2"/>
</calcChain>
</file>

<file path=xl/sharedStrings.xml><?xml version="1.0" encoding="utf-8"?>
<sst xmlns="http://schemas.openxmlformats.org/spreadsheetml/2006/main" count="274" uniqueCount="136">
  <si>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</si>
  <si>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</si>
  <si>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</si>
  <si>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</si>
  <si>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</si>
  <si>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</si>
  <si>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</si>
  <si>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</si>
  <si>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</si>
  <si>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</si>
  <si>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</si>
  <si>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</si>
  <si>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</si>
  <si>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</si>
  <si>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</si>
  <si>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</si>
  <si>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</si>
  <si>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</si>
  <si>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</si>
  <si>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</si>
  <si>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</si>
  <si>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</si>
  <si>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</si>
  <si>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</si>
  <si>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</si>
  <si>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</si>
  <si>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</si>
  <si>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</si>
  <si>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</si>
  <si>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</si>
  <si>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</si>
  <si>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</si>
  <si>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</si>
  <si>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</si>
  <si>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</si>
  <si>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</si>
  <si>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</si>
  <si>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</si>
  <si>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</si>
  <si>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S2</t>
  </si>
  <si>
    <t>V383 Cep / GSC 04266-01183</t>
  </si>
  <si>
    <t>IBVS 5016</t>
  </si>
  <si>
    <t>IBVS 5296</t>
  </si>
  <si>
    <t>II</t>
  </si>
  <si>
    <t>IBVS</t>
  </si>
  <si>
    <t>IBVS 3837</t>
  </si>
  <si>
    <t>HD 208106</t>
  </si>
  <si>
    <t>I</t>
  </si>
  <si>
    <t>Start of linear fit &gt;&gt;&gt;&gt;&gt;&gt;&gt;&gt;&gt;&gt;&gt;&gt;&gt;&gt;&gt;&gt;&gt;&gt;&gt;&gt;&gt;</t>
  </si>
  <si>
    <t>Add cycle</t>
  </si>
  <si>
    <t>Old Cycle</t>
  </si>
  <si>
    <t>IBVS 6007</t>
  </si>
  <si>
    <t>IBVS 5997</t>
  </si>
  <si>
    <t>EW</t>
  </si>
  <si>
    <t>OEJV 0160</t>
  </si>
  <si>
    <t>IBVS 6114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</si>
  <si>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</si>
  <si>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</si>
  <si>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</si>
  <si>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</si>
  <si>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</si>
  <si>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</si>
  <si>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</si>
  <si>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</si>
  <si>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</si>
  <si>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</si>
  <si>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</si>
  <si>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</si>
  <si>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2448484.3938 </t>
  </si>
  <si>
    <t> 15.08.1991 21:27 </t>
  </si>
  <si>
    <t> 0.0323 </t>
  </si>
  <si>
    <t>E </t>
  </si>
  <si>
    <t>B;V</t>
  </si>
  <si>
    <t> R.Gröbel </t>
  </si>
  <si>
    <t>BAVM 64 </t>
  </si>
  <si>
    <t>2448490.3731 </t>
  </si>
  <si>
    <t> 21.08.1991 20:57 </t>
  </si>
  <si>
    <t> 0.0286 </t>
  </si>
  <si>
    <t>2448498.6004 </t>
  </si>
  <si>
    <t> 30.08.1991 02:24 </t>
  </si>
  <si>
    <t> 0.0292 </t>
  </si>
  <si>
    <t>2448501.5903 </t>
  </si>
  <si>
    <t> 02.09.1991 02:10 </t>
  </si>
  <si>
    <t> 0.0276 </t>
  </si>
  <si>
    <t>2448843.3679 </t>
  </si>
  <si>
    <t> 08.08.1992 20:49 </t>
  </si>
  <si>
    <t> 0.0258 </t>
  </si>
  <si>
    <t>2448872.5381 </t>
  </si>
  <si>
    <t> 07.09.1992 00:54 </t>
  </si>
  <si>
    <t> 0.0288 </t>
  </si>
  <si>
    <t>2451435.4820 </t>
  </si>
  <si>
    <t> 13.09.1999 23:34 </t>
  </si>
  <si>
    <t> 0.0008 </t>
  </si>
  <si>
    <t>G</t>
  </si>
  <si>
    <t> F.Agerer </t>
  </si>
  <si>
    <t>BAVM 132 </t>
  </si>
  <si>
    <t>2451435.4832 </t>
  </si>
  <si>
    <t> 13.09.1999 23:35 </t>
  </si>
  <si>
    <t> 0.0020 </t>
  </si>
  <si>
    <t>2451812.4137 </t>
  </si>
  <si>
    <t> 24.09.2000 21:55 </t>
  </si>
  <si>
    <t> 0.0029 </t>
  </si>
  <si>
    <t>BAVM 152 </t>
  </si>
  <si>
    <t>2451827.3700 </t>
  </si>
  <si>
    <t> 09.10.2000 20:52 </t>
  </si>
  <si>
    <t> 0.0016 </t>
  </si>
  <si>
    <t>2452043.498 </t>
  </si>
  <si>
    <t> 13.05.2001 23:57 </t>
  </si>
  <si>
    <t> -0.007 </t>
  </si>
  <si>
    <t>2455434.3814 </t>
  </si>
  <si>
    <t> 25.08.2010 21:09 </t>
  </si>
  <si>
    <t> 0.0059 </t>
  </si>
  <si>
    <t>C </t>
  </si>
  <si>
    <t> G.Marino </t>
  </si>
  <si>
    <t>IBVS 5997 </t>
  </si>
  <si>
    <t>2455834.48375 </t>
  </si>
  <si>
    <t> 29.09.2011 23:36 </t>
  </si>
  <si>
    <t> -0.00557 </t>
  </si>
  <si>
    <t>R</t>
  </si>
  <si>
    <t> R.Uhlar </t>
  </si>
  <si>
    <t>IBVS 6007 </t>
  </si>
  <si>
    <t>2456154.58157 </t>
  </si>
  <si>
    <t> 15.08.2012 01:57 </t>
  </si>
  <si>
    <t> 0.00121 </t>
  </si>
  <si>
    <t> M.Mašek </t>
  </si>
  <si>
    <t>OEJV 0160 </t>
  </si>
  <si>
    <t>2456190.47788 </t>
  </si>
  <si>
    <t> 19.09.2012 23:28 </t>
  </si>
  <si>
    <t> -0.00054 </t>
  </si>
  <si>
    <t>IBVS 6114 </t>
  </si>
  <si>
    <t>2456929.3741 </t>
  </si>
  <si>
    <t> 28.09.2014 20:58 </t>
  </si>
  <si>
    <t> -0.0061 </t>
  </si>
  <si>
    <t>BAVM 239 </t>
  </si>
  <si>
    <t>JBAV, 76</t>
  </si>
  <si>
    <t>V0383 Cep / GSC 04266-01183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</si>
</sst>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 wrapText="1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3" fillId="0" borderId="0" xfId="43" applyFont="1" applyAlignment="1">
      <alignment horizontal="left"/>
    </xf>
    <xf numFmtId="0" fontId="33" fillId="0" borderId="0" xfId="43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left"/>
    </xf>
    <xf numFmtId="165" fontId="5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 wrapText="1"/>
    </xf>
    <xf numFmtId="165" fontId="16" fillId="0" borderId="0" xfId="42" applyNumberFormat="1" applyFont="1" applyAlignment="1">
      <alignment horizontal="left" wrapText="1"/>
    </xf>
    <xf numFmtId="165" fontId="33" fillId="0" borderId="0" xfId="43" applyNumberFormat="1" applyFont="1" applyAlignment="1">
      <alignment horizontal="left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/>
    <xf numFmtId="0" fontId="35" fillId="0" borderId="0" xfId="0" applyFont="1" applyAlignment="1">
      <alignment horizontal="left" vertical="center" wrapText="1"/>
    </xf>
    <xf numFmtId="0" fontId="33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V0383 Cep - O-C Diagr.</a:t>
            </a:r>
          </a:p>
        </c:rich>
      </c:tx>
      <c:layout>
        <c:manualLayout>
          <c:xMode val="edge"/>
          <c:yMode val="edge"/>
          <c:x val="0.3700310626309326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34168126798494"/>
          <c:w val="0.8180440349711435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Active!$D$21:$D$298</c:f>
                <c:numCache>
                  <c:formatCode>General</c:formatCode>
                  <c:ptCount val="2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plus>
            <c:minus>
              <c:numRef>
                <c:f>Active!$D$21:$D$298</c:f>
                <c:numCache>
                  <c:formatCode>General</c:formatCode>
                  <c:ptCount val="2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-1973</c:v>
                </c:pt>
                <c:pt idx="1">
                  <c:v>-1969</c:v>
                </c:pt>
                <c:pt idx="2">
                  <c:v>-1963.5</c:v>
                </c:pt>
                <c:pt idx="3">
                  <c:v>-1961.5</c:v>
                </c:pt>
                <c:pt idx="4">
                  <c:v>-1733</c:v>
                </c:pt>
                <c:pt idx="5">
                  <c:v>-1713.5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252</c:v>
                </c:pt>
                <c:pt idx="10">
                  <c:v>262</c:v>
                </c:pt>
                <c:pt idx="11">
                  <c:v>406.5</c:v>
                </c:pt>
                <c:pt idx="12">
                  <c:v>2673.5</c:v>
                </c:pt>
                <c:pt idx="13">
                  <c:v>2941</c:v>
                </c:pt>
                <c:pt idx="14">
                  <c:v>3155</c:v>
                </c:pt>
                <c:pt idx="15">
                  <c:v>3179</c:v>
                </c:pt>
                <c:pt idx="16">
                  <c:v>3673</c:v>
                </c:pt>
                <c:pt idx="17">
                  <c:v>3881</c:v>
                </c:pt>
                <c:pt idx="18">
                  <c:v>4349</c:v>
                </c:pt>
                <c:pt idx="19">
                  <c:v>5650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E5-41E8-AC3F-B4699425FC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-1973</c:v>
                </c:pt>
                <c:pt idx="1">
                  <c:v>-1969</c:v>
                </c:pt>
                <c:pt idx="2">
                  <c:v>-1963.5</c:v>
                </c:pt>
                <c:pt idx="3">
                  <c:v>-1961.5</c:v>
                </c:pt>
                <c:pt idx="4">
                  <c:v>-1733</c:v>
                </c:pt>
                <c:pt idx="5">
                  <c:v>-1713.5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252</c:v>
                </c:pt>
                <c:pt idx="10">
                  <c:v>262</c:v>
                </c:pt>
                <c:pt idx="11">
                  <c:v>406.5</c:v>
                </c:pt>
                <c:pt idx="12">
                  <c:v>2673.5</c:v>
                </c:pt>
                <c:pt idx="13">
                  <c:v>2941</c:v>
                </c:pt>
                <c:pt idx="14">
                  <c:v>3155</c:v>
                </c:pt>
                <c:pt idx="15">
                  <c:v>3179</c:v>
                </c:pt>
                <c:pt idx="16">
                  <c:v>3673</c:v>
                </c:pt>
                <c:pt idx="17">
                  <c:v>3881</c:v>
                </c:pt>
                <c:pt idx="18">
                  <c:v>4349</c:v>
                </c:pt>
                <c:pt idx="19">
                  <c:v>5650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6">
                  <c:v>-5.9999999939464033E-4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E5-41E8-AC3F-B4699425FC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-1973</c:v>
                </c:pt>
                <c:pt idx="1">
                  <c:v>-1969</c:v>
                </c:pt>
                <c:pt idx="2">
                  <c:v>-1963.5</c:v>
                </c:pt>
                <c:pt idx="3">
                  <c:v>-1961.5</c:v>
                </c:pt>
                <c:pt idx="4">
                  <c:v>-1733</c:v>
                </c:pt>
                <c:pt idx="5">
                  <c:v>-1713.5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252</c:v>
                </c:pt>
                <c:pt idx="10">
                  <c:v>262</c:v>
                </c:pt>
                <c:pt idx="11">
                  <c:v>406.5</c:v>
                </c:pt>
                <c:pt idx="12">
                  <c:v>2673.5</c:v>
                </c:pt>
                <c:pt idx="13">
                  <c:v>2941</c:v>
                </c:pt>
                <c:pt idx="14">
                  <c:v>3155</c:v>
                </c:pt>
                <c:pt idx="15">
                  <c:v>3179</c:v>
                </c:pt>
                <c:pt idx="16">
                  <c:v>3673</c:v>
                </c:pt>
                <c:pt idx="17">
                  <c:v>3881</c:v>
                </c:pt>
                <c:pt idx="18">
                  <c:v>4349</c:v>
                </c:pt>
                <c:pt idx="19">
                  <c:v>5650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6.2199999956646934E-3</c:v>
                </c:pt>
                <c:pt idx="1">
                  <c:v>2.5599999935366213E-3</c:v>
                </c:pt>
                <c:pt idx="2">
                  <c:v>3.2900000005611219E-3</c:v>
                </c:pt>
                <c:pt idx="3">
                  <c:v>1.710000004095491E-3</c:v>
                </c:pt>
                <c:pt idx="4">
                  <c:v>2.719999996770639E-3</c:v>
                </c:pt>
                <c:pt idx="5">
                  <c:v>5.9899999978370033E-3</c:v>
                </c:pt>
                <c:pt idx="7">
                  <c:v>0</c:v>
                </c:pt>
                <c:pt idx="8">
                  <c:v>5.9999999939464033E-4</c:v>
                </c:pt>
                <c:pt idx="9">
                  <c:v>4.6199999924283475E-3</c:v>
                </c:pt>
                <c:pt idx="10">
                  <c:v>3.5199999983888119E-3</c:v>
                </c:pt>
                <c:pt idx="11">
                  <c:v>-2.9100000028847717E-3</c:v>
                </c:pt>
                <c:pt idx="16">
                  <c:v>3.8479999995615799E-2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E5-41E8-AC3F-B4699425FC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-1973</c:v>
                </c:pt>
                <c:pt idx="1">
                  <c:v>-1969</c:v>
                </c:pt>
                <c:pt idx="2">
                  <c:v>-1963.5</c:v>
                </c:pt>
                <c:pt idx="3">
                  <c:v>-1961.5</c:v>
                </c:pt>
                <c:pt idx="4">
                  <c:v>-1733</c:v>
                </c:pt>
                <c:pt idx="5">
                  <c:v>-1713.5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252</c:v>
                </c:pt>
                <c:pt idx="10">
                  <c:v>262</c:v>
                </c:pt>
                <c:pt idx="11">
                  <c:v>406.5</c:v>
                </c:pt>
                <c:pt idx="12">
                  <c:v>2673.5</c:v>
                </c:pt>
                <c:pt idx="13">
                  <c:v>2941</c:v>
                </c:pt>
                <c:pt idx="14">
                  <c:v>3155</c:v>
                </c:pt>
                <c:pt idx="15">
                  <c:v>3179</c:v>
                </c:pt>
                <c:pt idx="16">
                  <c:v>3673</c:v>
                </c:pt>
                <c:pt idx="17">
                  <c:v>3881</c:v>
                </c:pt>
                <c:pt idx="18">
                  <c:v>4349</c:v>
                </c:pt>
                <c:pt idx="19">
                  <c:v>5650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2">
                  <c:v>3.7909999991825316E-2</c:v>
                </c:pt>
                <c:pt idx="13">
                  <c:v>2.9809999992721714E-2</c:v>
                </c:pt>
                <c:pt idx="14">
                  <c:v>3.9270000001124572E-2</c:v>
                </c:pt>
                <c:pt idx="15">
                  <c:v>3.7819999997736886E-2</c:v>
                </c:pt>
                <c:pt idx="17">
                  <c:v>4.965999999694759E-2</c:v>
                </c:pt>
                <c:pt idx="18">
                  <c:v>5.0640000001294538E-2</c:v>
                </c:pt>
                <c:pt idx="19">
                  <c:v>5.9800000002724119E-2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E5-41E8-AC3F-B4699425FC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-1973</c:v>
                </c:pt>
                <c:pt idx="1">
                  <c:v>-1969</c:v>
                </c:pt>
                <c:pt idx="2">
                  <c:v>-1963.5</c:v>
                </c:pt>
                <c:pt idx="3">
                  <c:v>-1961.5</c:v>
                </c:pt>
                <c:pt idx="4">
                  <c:v>-1733</c:v>
                </c:pt>
                <c:pt idx="5">
                  <c:v>-1713.5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252</c:v>
                </c:pt>
                <c:pt idx="10">
                  <c:v>262</c:v>
                </c:pt>
                <c:pt idx="11">
                  <c:v>406.5</c:v>
                </c:pt>
                <c:pt idx="12">
                  <c:v>2673.5</c:v>
                </c:pt>
                <c:pt idx="13">
                  <c:v>2941</c:v>
                </c:pt>
                <c:pt idx="14">
                  <c:v>3155</c:v>
                </c:pt>
                <c:pt idx="15">
                  <c:v>3179</c:v>
                </c:pt>
                <c:pt idx="16">
                  <c:v>3673</c:v>
                </c:pt>
                <c:pt idx="17">
                  <c:v>3881</c:v>
                </c:pt>
                <c:pt idx="18">
                  <c:v>4349</c:v>
                </c:pt>
                <c:pt idx="19">
                  <c:v>5650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E5-41E8-AC3F-B4699425FC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-1973</c:v>
                </c:pt>
                <c:pt idx="1">
                  <c:v>-1969</c:v>
                </c:pt>
                <c:pt idx="2">
                  <c:v>-1963.5</c:v>
                </c:pt>
                <c:pt idx="3">
                  <c:v>-1961.5</c:v>
                </c:pt>
                <c:pt idx="4">
                  <c:v>-1733</c:v>
                </c:pt>
                <c:pt idx="5">
                  <c:v>-1713.5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252</c:v>
                </c:pt>
                <c:pt idx="10">
                  <c:v>262</c:v>
                </c:pt>
                <c:pt idx="11">
                  <c:v>406.5</c:v>
                </c:pt>
                <c:pt idx="12">
                  <c:v>2673.5</c:v>
                </c:pt>
                <c:pt idx="13">
                  <c:v>2941</c:v>
                </c:pt>
                <c:pt idx="14">
                  <c:v>3155</c:v>
                </c:pt>
                <c:pt idx="15">
                  <c:v>3179</c:v>
                </c:pt>
                <c:pt idx="16">
                  <c:v>3673</c:v>
                </c:pt>
                <c:pt idx="17">
                  <c:v>3881</c:v>
                </c:pt>
                <c:pt idx="18">
                  <c:v>4349</c:v>
                </c:pt>
                <c:pt idx="19">
                  <c:v>5650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E5-41E8-AC3F-B4699425FC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0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1.6999999999999999E-3</c:v>
                  </c:pt>
                  <c:pt idx="10">
                    <c:v>1.5E-3</c:v>
                  </c:pt>
                  <c:pt idx="11">
                    <c:v>3.0000000000000001E-3</c:v>
                  </c:pt>
                  <c:pt idx="12">
                    <c:v>1.4E-3</c:v>
                  </c:pt>
                  <c:pt idx="13">
                    <c:v>7.9000000000000001E-4</c:v>
                  </c:pt>
                  <c:pt idx="14">
                    <c:v>1.1000000000000001E-3</c:v>
                  </c:pt>
                  <c:pt idx="15">
                    <c:v>5.1000000000000004E-4</c:v>
                  </c:pt>
                  <c:pt idx="16">
                    <c:v>1.2999999999999999E-2</c:v>
                  </c:pt>
                  <c:pt idx="17">
                    <c:v>8.0999999999999996E-3</c:v>
                  </c:pt>
                  <c:pt idx="18">
                    <c:v>4.4999999999999997E-3</c:v>
                  </c:pt>
                  <c:pt idx="19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-1973</c:v>
                </c:pt>
                <c:pt idx="1">
                  <c:v>-1969</c:v>
                </c:pt>
                <c:pt idx="2">
                  <c:v>-1963.5</c:v>
                </c:pt>
                <c:pt idx="3">
                  <c:v>-1961.5</c:v>
                </c:pt>
                <c:pt idx="4">
                  <c:v>-1733</c:v>
                </c:pt>
                <c:pt idx="5">
                  <c:v>-1713.5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252</c:v>
                </c:pt>
                <c:pt idx="10">
                  <c:v>262</c:v>
                </c:pt>
                <c:pt idx="11">
                  <c:v>406.5</c:v>
                </c:pt>
                <c:pt idx="12">
                  <c:v>2673.5</c:v>
                </c:pt>
                <c:pt idx="13">
                  <c:v>2941</c:v>
                </c:pt>
                <c:pt idx="14">
                  <c:v>3155</c:v>
                </c:pt>
                <c:pt idx="15">
                  <c:v>3179</c:v>
                </c:pt>
                <c:pt idx="16">
                  <c:v>3673</c:v>
                </c:pt>
                <c:pt idx="17">
                  <c:v>3881</c:v>
                </c:pt>
                <c:pt idx="18">
                  <c:v>4349</c:v>
                </c:pt>
                <c:pt idx="19">
                  <c:v>5650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E5-41E8-AC3F-B4699425FC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-1973</c:v>
                </c:pt>
                <c:pt idx="1">
                  <c:v>-1969</c:v>
                </c:pt>
                <c:pt idx="2">
                  <c:v>-1963.5</c:v>
                </c:pt>
                <c:pt idx="3">
                  <c:v>-1961.5</c:v>
                </c:pt>
                <c:pt idx="4">
                  <c:v>-1733</c:v>
                </c:pt>
                <c:pt idx="5">
                  <c:v>-1713.5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252</c:v>
                </c:pt>
                <c:pt idx="10">
                  <c:v>262</c:v>
                </c:pt>
                <c:pt idx="11">
                  <c:v>406.5</c:v>
                </c:pt>
                <c:pt idx="12">
                  <c:v>2673.5</c:v>
                </c:pt>
                <c:pt idx="13">
                  <c:v>2941</c:v>
                </c:pt>
                <c:pt idx="14">
                  <c:v>3155</c:v>
                </c:pt>
                <c:pt idx="15">
                  <c:v>3179</c:v>
                </c:pt>
                <c:pt idx="16">
                  <c:v>3673</c:v>
                </c:pt>
                <c:pt idx="17">
                  <c:v>3881</c:v>
                </c:pt>
                <c:pt idx="18">
                  <c:v>4349</c:v>
                </c:pt>
                <c:pt idx="19">
                  <c:v>5650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-4.3774914373556038E-3</c:v>
                </c:pt>
                <c:pt idx="1">
                  <c:v>-4.3461667608688578E-3</c:v>
                </c:pt>
                <c:pt idx="2">
                  <c:v>-4.3030953306995804E-3</c:v>
                </c:pt>
                <c:pt idx="3">
                  <c:v>-4.2874329924562082E-3</c:v>
                </c:pt>
                <c:pt idx="4">
                  <c:v>-2.498010848150824E-3</c:v>
                </c:pt>
                <c:pt idx="5">
                  <c:v>-2.3453030502779363E-3</c:v>
                </c:pt>
                <c:pt idx="6">
                  <c:v>1.1073405239732022E-2</c:v>
                </c:pt>
                <c:pt idx="7">
                  <c:v>1.1073405239732022E-2</c:v>
                </c:pt>
                <c:pt idx="8">
                  <c:v>1.1073405239732022E-2</c:v>
                </c:pt>
                <c:pt idx="9">
                  <c:v>1.304685985839704E-2</c:v>
                </c:pt>
                <c:pt idx="10">
                  <c:v>1.3125171549613906E-2</c:v>
                </c:pt>
                <c:pt idx="11">
                  <c:v>1.4256775487697618E-2</c:v>
                </c:pt>
                <c:pt idx="12">
                  <c:v>3.2010035886561101E-2</c:v>
                </c:pt>
                <c:pt idx="13">
                  <c:v>3.4104873626612256E-2</c:v>
                </c:pt>
                <c:pt idx="14">
                  <c:v>3.5780743818653191E-2</c:v>
                </c:pt>
                <c:pt idx="15">
                  <c:v>3.5968691877573664E-2</c:v>
                </c:pt>
                <c:pt idx="16">
                  <c:v>3.9837289423686841E-2</c:v>
                </c:pt>
                <c:pt idx="17">
                  <c:v>4.1466172600997643E-2</c:v>
                </c:pt>
                <c:pt idx="18">
                  <c:v>4.5131159749946963E-2</c:v>
                </c:pt>
                <c:pt idx="19">
                  <c:v>5.5319510777261209E-2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E5-41E8-AC3F-B4699425F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392112"/>
        <c:axId val="1"/>
      </c:scatterChart>
      <c:valAx>
        <c:axId val="666392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563445624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392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17769109136586"/>
          <c:y val="0.92073298764483702"/>
          <c:w val="0.63914469406920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V383 Cep - O-C Diagr.</a:t>
            </a:r>
          </a:p>
        </c:rich>
      </c:tx>
      <c:layout>
        <c:manualLayout>
          <c:xMode val="edge"/>
          <c:yMode val="edge"/>
          <c:x val="0.3700310626309326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78942920199375"/>
          <c:w val="0.8119278178872472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</c:v>
                </c:pt>
                <c:pt idx="2">
                  <c:v>1742.5</c:v>
                </c:pt>
                <c:pt idx="3">
                  <c:v>2703.5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-1.3000000035390258E-3</c:v>
                </c:pt>
                <c:pt idx="2">
                  <c:v>-8.5000000399304554E-4</c:v>
                </c:pt>
                <c:pt idx="3">
                  <c:v>-1.750000003085006E-3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D-4836-98A1-4004503E695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</c:v>
                </c:pt>
                <c:pt idx="2">
                  <c:v>1742.5</c:v>
                </c:pt>
                <c:pt idx="3">
                  <c:v>2703.5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0D-4836-98A1-4004503E695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</c:v>
                </c:pt>
                <c:pt idx="2">
                  <c:v>1742.5</c:v>
                </c:pt>
                <c:pt idx="3">
                  <c:v>2703.5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0D-4836-98A1-4004503E695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</c:v>
                </c:pt>
                <c:pt idx="2">
                  <c:v>1742.5</c:v>
                </c:pt>
                <c:pt idx="3">
                  <c:v>2703.5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0D-4836-98A1-4004503E695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</c:v>
                </c:pt>
                <c:pt idx="2">
                  <c:v>1742.5</c:v>
                </c:pt>
                <c:pt idx="3">
                  <c:v>2703.5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0D-4836-98A1-4004503E695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</c:v>
                </c:pt>
                <c:pt idx="2">
                  <c:v>1742.5</c:v>
                </c:pt>
                <c:pt idx="3">
                  <c:v>2703.5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0D-4836-98A1-4004503E695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</c:v>
                </c:pt>
                <c:pt idx="2">
                  <c:v>1742.5</c:v>
                </c:pt>
                <c:pt idx="3">
                  <c:v>2703.5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0D-4836-98A1-4004503E695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 (old)'!$D$21:$D$265</c:f>
                <c:numCache>
                  <c:formatCode>General</c:formatCode>
                  <c:ptCount val="245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(old)'!$D$21:$D$265</c:f>
                <c:numCache>
                  <c:formatCode>General</c:formatCode>
                  <c:ptCount val="245"/>
                  <c:pt idx="0">
                    <c:v>1E-3</c:v>
                  </c:pt>
                  <c:pt idx="1">
                    <c:v>1.6999999999999999E-3</c:v>
                  </c:pt>
                  <c:pt idx="2">
                    <c:v>1.5E-3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</c:v>
                </c:pt>
                <c:pt idx="2">
                  <c:v>1742.5</c:v>
                </c:pt>
                <c:pt idx="3">
                  <c:v>2703.5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4.5349465591798272E-6</c:v>
                </c:pt>
                <c:pt idx="1">
                  <c:v>-1.0681214238307194E-3</c:v>
                </c:pt>
                <c:pt idx="2">
                  <c:v>-1.1106820733718461E-3</c:v>
                </c:pt>
                <c:pt idx="3">
                  <c:v>-1.7257314599736916E-3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0D-4836-98A1-4004503E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389952"/>
        <c:axId val="1"/>
      </c:scatterChart>
      <c:valAx>
        <c:axId val="666389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818424073137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38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923579506690102"/>
          <c:y val="0.9204921861831491"/>
          <c:w val="0.89449669708717594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18</xdr:col>
      <xdr:colOff>85724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C9698AE-3FE4-81B9-1B84-75BD70C6A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E5512BF-90B7-FE23-3006-36C1F30B3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bav-astro.de/sfs/BAVM_link.php?BAVMnr=64" TargetMode="External"/><Relationship Id="rId7" Type="http://schemas.openxmlformats.org/officeDocument/2006/relationships/hyperlink" Target="http://www.bav-astro.de/sfs/BAVM_link.php?BAVMnr=132" TargetMode="External"/><Relationship Id="rId12" Type="http://schemas.openxmlformats.org/officeDocument/2006/relationships/hyperlink" Target="http://www.konkoly.hu/cgi-bin/IBVS?5997" TargetMode="External"/><Relationship Id="rId2" Type="http://schemas.openxmlformats.org/officeDocument/2006/relationships/hyperlink" Target="http://www.bav-astro.de/sfs/BAVM_link.php?BAVMnr=64" TargetMode="External"/><Relationship Id="rId16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64" TargetMode="External"/><Relationship Id="rId6" Type="http://schemas.openxmlformats.org/officeDocument/2006/relationships/hyperlink" Target="http://www.bav-astro.de/sfs/BAVM_link.php?BAVMnr=64" TargetMode="External"/><Relationship Id="rId11" Type="http://schemas.openxmlformats.org/officeDocument/2006/relationships/hyperlink" Target="http://www.bav-astro.de/sfs/BAVM_link.php?BAVMnr=152" TargetMode="External"/><Relationship Id="rId5" Type="http://schemas.openxmlformats.org/officeDocument/2006/relationships/hyperlink" Target="http://www.bav-astro.de/sfs/BAVM_link.php?BAVMnr=64" TargetMode="External"/><Relationship Id="rId15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bav-astro.de/sfs/BAVM_link.php?BAVMnr=152" TargetMode="External"/><Relationship Id="rId4" Type="http://schemas.openxmlformats.org/officeDocument/2006/relationships/hyperlink" Target="http://www.bav-astro.de/sfs/BAVM_link.php?BAVMnr=64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1" topLeftCell="O2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66" t="s">
        <v>135</v>
      </c>
    </row>
    <row r="2" spans="1:6" x14ac:dyDescent="0.2">
      <c r="A2" t="s">
        <v>26</v>
      </c>
      <c r="B2" s="34" t="s">
        <v>53</v>
      </c>
      <c r="C2" s="3" t="s">
        <v>46</v>
      </c>
      <c r="D2" s="3"/>
    </row>
    <row r="3" spans="1:6" ht="13.5" thickBot="1" x14ac:dyDescent="0.25"/>
    <row r="4" spans="1:6" ht="14.25" thickTop="1" thickBot="1" x14ac:dyDescent="0.25">
      <c r="A4" s="5" t="s">
        <v>2</v>
      </c>
      <c r="C4" s="8" t="s">
        <v>31</v>
      </c>
      <c r="D4" s="9" t="s">
        <v>31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3</v>
      </c>
    </row>
    <row r="7" spans="1:6" x14ac:dyDescent="0.2">
      <c r="A7" t="s">
        <v>4</v>
      </c>
      <c r="C7" s="24">
        <v>51435.482600000003</v>
      </c>
      <c r="D7" s="27" t="s">
        <v>44</v>
      </c>
    </row>
    <row r="8" spans="1:6" x14ac:dyDescent="0.2">
      <c r="A8" t="s">
        <v>5</v>
      </c>
      <c r="C8">
        <v>1.4957400000000001</v>
      </c>
      <c r="D8" s="28">
        <v>3837</v>
      </c>
    </row>
    <row r="9" spans="1:6" x14ac:dyDescent="0.2">
      <c r="A9" s="32" t="s">
        <v>48</v>
      </c>
      <c r="B9" s="33">
        <v>21</v>
      </c>
      <c r="C9" s="30" t="str">
        <f>"F"&amp;B9</f>
        <v>F21</v>
      </c>
      <c r="D9" s="31" t="str">
        <f>"G"&amp;B9</f>
        <v>G21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17</v>
      </c>
      <c r="B11" s="12"/>
      <c r="C11" s="29">
        <f ca="1">INTERCEPT(INDIRECT($D$9):G992,INDIRECT($C$9):F992)</f>
        <v>1.1073405239732022E-2</v>
      </c>
      <c r="D11" s="3"/>
      <c r="E11" s="12"/>
    </row>
    <row r="12" spans="1:6" x14ac:dyDescent="0.2">
      <c r="A12" s="12" t="s">
        <v>18</v>
      </c>
      <c r="B12" s="12"/>
      <c r="C12" s="29">
        <f ca="1">SLOPE(INDIRECT($D$9):G992,INDIRECT($C$9):F992)</f>
        <v>7.8311691216865818E-6</v>
      </c>
      <c r="D12" s="3"/>
      <c r="E12" s="12"/>
    </row>
    <row r="13" spans="1:6" x14ac:dyDescent="0.2">
      <c r="A13" s="12" t="s">
        <v>21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59886.468919510786</v>
      </c>
      <c r="E15" s="16" t="s">
        <v>49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1.4957478311691217</v>
      </c>
      <c r="E16" s="16" t="s">
        <v>35</v>
      </c>
      <c r="F16" s="17">
        <f ca="1">NOW()+15018.5+$C$5/24</f>
        <v>60332.719152662037</v>
      </c>
    </row>
    <row r="17" spans="1:17" ht="13.5" thickBot="1" x14ac:dyDescent="0.25">
      <c r="A17" s="16" t="s">
        <v>32</v>
      </c>
      <c r="B17" s="12"/>
      <c r="C17" s="12">
        <f>COUNT(C21:C2191)</f>
        <v>20</v>
      </c>
      <c r="E17" s="16" t="s">
        <v>50</v>
      </c>
      <c r="F17" s="17">
        <f ca="1">ROUND(2*(F16-$C$7)/$C$8,0)/2+F15</f>
        <v>5949.5</v>
      </c>
    </row>
    <row r="18" spans="1:17" ht="14.25" thickTop="1" thickBot="1" x14ac:dyDescent="0.25">
      <c r="A18" s="18" t="s">
        <v>7</v>
      </c>
      <c r="B18" s="12"/>
      <c r="C18" s="21">
        <f ca="1">+C15</f>
        <v>59886.468919510786</v>
      </c>
      <c r="D18" s="22">
        <f ca="1">+C16</f>
        <v>1.4957478311691217</v>
      </c>
      <c r="E18" s="16" t="s">
        <v>36</v>
      </c>
      <c r="F18" s="31">
        <f ca="1">ROUND(2*(F16-$C$15)/$C$16,0)/2+F15</f>
        <v>299.5</v>
      </c>
    </row>
    <row r="19" spans="1:17" ht="13.5" thickTop="1" x14ac:dyDescent="0.2">
      <c r="E19" s="16" t="s">
        <v>37</v>
      </c>
      <c r="F19" s="20">
        <f ca="1">+$C$15+$C$16*F18-15018.5-$C$5/24</f>
        <v>45316.341228279271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64</v>
      </c>
      <c r="I20" s="7" t="s">
        <v>67</v>
      </c>
      <c r="J20" s="7" t="s">
        <v>61</v>
      </c>
      <c r="K20" s="7" t="s">
        <v>59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16</v>
      </c>
    </row>
    <row r="21" spans="1:17" x14ac:dyDescent="0.2">
      <c r="A21" s="24" t="s">
        <v>45</v>
      </c>
      <c r="B21" s="3" t="s">
        <v>47</v>
      </c>
      <c r="C21" s="59">
        <v>48484.393799999998</v>
      </c>
      <c r="D21" s="10"/>
      <c r="E21">
        <f t="shared" ref="E21:E37" si="0">+(C21-C$7)/C$8</f>
        <v>-1972.9958415232627</v>
      </c>
      <c r="F21">
        <f t="shared" ref="F21:F39" si="1">ROUND(2*E21,0)/2</f>
        <v>-1973</v>
      </c>
      <c r="G21">
        <f t="shared" ref="G21:G37" si="2">+C21-(C$7+F21*C$8)</f>
        <v>6.2199999956646934E-3</v>
      </c>
      <c r="J21">
        <f t="shared" ref="J21:J26" si="3">+G21</f>
        <v>6.2199999956646934E-3</v>
      </c>
      <c r="O21">
        <f t="shared" ref="O21:O37" ca="1" si="4">+C$11+C$12*$F21</f>
        <v>-4.3774914373556038E-3</v>
      </c>
      <c r="Q21" s="2">
        <f t="shared" ref="Q21:Q37" si="5">+C21-15018.5</f>
        <v>33465.893799999998</v>
      </c>
    </row>
    <row r="22" spans="1:17" x14ac:dyDescent="0.2">
      <c r="A22" s="24" t="s">
        <v>45</v>
      </c>
      <c r="B22" s="3" t="s">
        <v>47</v>
      </c>
      <c r="C22" s="59">
        <v>48490.373099999997</v>
      </c>
      <c r="D22" s="10"/>
      <c r="E22">
        <f t="shared" si="0"/>
        <v>-1968.9982884725994</v>
      </c>
      <c r="F22">
        <f t="shared" si="1"/>
        <v>-1969</v>
      </c>
      <c r="G22">
        <f t="shared" si="2"/>
        <v>2.5599999935366213E-3</v>
      </c>
      <c r="J22">
        <f t="shared" si="3"/>
        <v>2.5599999935366213E-3</v>
      </c>
      <c r="O22">
        <f t="shared" ca="1" si="4"/>
        <v>-4.3461667608688578E-3</v>
      </c>
      <c r="Q22" s="2">
        <f t="shared" si="5"/>
        <v>33471.873099999997</v>
      </c>
    </row>
    <row r="23" spans="1:17" x14ac:dyDescent="0.2">
      <c r="A23" s="24" t="s">
        <v>45</v>
      </c>
      <c r="B23" s="3" t="s">
        <v>43</v>
      </c>
      <c r="C23" s="59">
        <v>48498.600400000003</v>
      </c>
      <c r="D23" s="10"/>
      <c r="E23">
        <f t="shared" si="0"/>
        <v>-1963.497800419859</v>
      </c>
      <c r="F23">
        <f t="shared" si="1"/>
        <v>-1963.5</v>
      </c>
      <c r="G23">
        <f t="shared" si="2"/>
        <v>3.2900000005611219E-3</v>
      </c>
      <c r="J23">
        <f t="shared" si="3"/>
        <v>3.2900000005611219E-3</v>
      </c>
      <c r="O23">
        <f t="shared" ca="1" si="4"/>
        <v>-4.3030953306995804E-3</v>
      </c>
      <c r="Q23" s="2">
        <f t="shared" si="5"/>
        <v>33480.100400000003</v>
      </c>
    </row>
    <row r="24" spans="1:17" x14ac:dyDescent="0.2">
      <c r="A24" s="24" t="s">
        <v>45</v>
      </c>
      <c r="B24" s="3" t="s">
        <v>43</v>
      </c>
      <c r="C24" s="59">
        <v>48501.590300000003</v>
      </c>
      <c r="D24" s="10"/>
      <c r="E24">
        <f t="shared" si="0"/>
        <v>-1961.4988567531786</v>
      </c>
      <c r="F24">
        <f t="shared" si="1"/>
        <v>-1961.5</v>
      </c>
      <c r="G24">
        <f t="shared" si="2"/>
        <v>1.710000004095491E-3</v>
      </c>
      <c r="J24">
        <f t="shared" si="3"/>
        <v>1.710000004095491E-3</v>
      </c>
      <c r="O24">
        <f t="shared" ca="1" si="4"/>
        <v>-4.2874329924562082E-3</v>
      </c>
      <c r="Q24" s="2">
        <f t="shared" si="5"/>
        <v>33483.090300000003</v>
      </c>
    </row>
    <row r="25" spans="1:17" x14ac:dyDescent="0.2">
      <c r="A25" s="24" t="s">
        <v>45</v>
      </c>
      <c r="B25" s="3" t="s">
        <v>47</v>
      </c>
      <c r="C25" s="59">
        <v>48843.367899999997</v>
      </c>
      <c r="D25" s="10"/>
      <c r="E25">
        <f t="shared" si="0"/>
        <v>-1732.9981815021363</v>
      </c>
      <c r="F25">
        <f t="shared" si="1"/>
        <v>-1733</v>
      </c>
      <c r="G25">
        <f t="shared" si="2"/>
        <v>2.719999996770639E-3</v>
      </c>
      <c r="J25">
        <f t="shared" si="3"/>
        <v>2.719999996770639E-3</v>
      </c>
      <c r="O25">
        <f t="shared" ca="1" si="4"/>
        <v>-2.498010848150824E-3</v>
      </c>
      <c r="Q25" s="2">
        <f t="shared" si="5"/>
        <v>33824.867899999997</v>
      </c>
    </row>
    <row r="26" spans="1:17" x14ac:dyDescent="0.2">
      <c r="A26" s="24" t="s">
        <v>45</v>
      </c>
      <c r="B26" s="3" t="s">
        <v>43</v>
      </c>
      <c r="C26" s="59">
        <v>48872.538099999998</v>
      </c>
      <c r="D26" s="10"/>
      <c r="E26">
        <f t="shared" si="0"/>
        <v>-1713.4959952933029</v>
      </c>
      <c r="F26">
        <f t="shared" si="1"/>
        <v>-1713.5</v>
      </c>
      <c r="G26">
        <f t="shared" si="2"/>
        <v>5.9899999978370033E-3</v>
      </c>
      <c r="J26">
        <f t="shared" si="3"/>
        <v>5.9899999978370033E-3</v>
      </c>
      <c r="O26">
        <f t="shared" ca="1" si="4"/>
        <v>-2.3453030502779363E-3</v>
      </c>
      <c r="Q26" s="2">
        <f t="shared" si="5"/>
        <v>33854.038099999998</v>
      </c>
    </row>
    <row r="27" spans="1:17" x14ac:dyDescent="0.2">
      <c r="A27" t="s">
        <v>95</v>
      </c>
      <c r="B27" s="3" t="s">
        <v>47</v>
      </c>
      <c r="C27" s="59">
        <v>51435.482000000004</v>
      </c>
      <c r="D27" s="10" t="s">
        <v>67</v>
      </c>
      <c r="E27">
        <f t="shared" si="0"/>
        <v>-4.0113923502389472E-4</v>
      </c>
      <c r="F27">
        <f t="shared" si="1"/>
        <v>0</v>
      </c>
      <c r="G27">
        <f t="shared" si="2"/>
        <v>-5.9999999939464033E-4</v>
      </c>
      <c r="I27">
        <f>+G27</f>
        <v>-5.9999999939464033E-4</v>
      </c>
      <c r="O27">
        <f t="shared" ca="1" si="4"/>
        <v>1.1073405239732022E-2</v>
      </c>
      <c r="Q27" s="2">
        <f t="shared" si="5"/>
        <v>36416.982000000004</v>
      </c>
    </row>
    <row r="28" spans="1:17" x14ac:dyDescent="0.2">
      <c r="A28" s="24" t="s">
        <v>41</v>
      </c>
      <c r="B28" s="25"/>
      <c r="C28" s="60">
        <v>51435.482600000003</v>
      </c>
      <c r="D28" s="24">
        <v>1E-3</v>
      </c>
      <c r="E28">
        <f t="shared" si="0"/>
        <v>0</v>
      </c>
      <c r="F28">
        <f t="shared" si="1"/>
        <v>0</v>
      </c>
      <c r="G28">
        <f t="shared" si="2"/>
        <v>0</v>
      </c>
      <c r="J28">
        <f>+G28</f>
        <v>0</v>
      </c>
      <c r="O28">
        <f t="shared" ca="1" si="4"/>
        <v>1.1073405239732022E-2</v>
      </c>
      <c r="Q28" s="2">
        <f t="shared" si="5"/>
        <v>36416.982600000003</v>
      </c>
    </row>
    <row r="29" spans="1:17" x14ac:dyDescent="0.2">
      <c r="A29" t="s">
        <v>95</v>
      </c>
      <c r="B29" s="3" t="s">
        <v>47</v>
      </c>
      <c r="C29" s="59">
        <v>51435.483200000002</v>
      </c>
      <c r="D29" s="10" t="s">
        <v>67</v>
      </c>
      <c r="E29">
        <f t="shared" si="0"/>
        <v>4.0113923502389472E-4</v>
      </c>
      <c r="F29">
        <f t="shared" si="1"/>
        <v>0</v>
      </c>
      <c r="G29">
        <f t="shared" si="2"/>
        <v>5.9999999939464033E-4</v>
      </c>
      <c r="J29">
        <f>+G29</f>
        <v>5.9999999939464033E-4</v>
      </c>
      <c r="O29">
        <f t="shared" ca="1" si="4"/>
        <v>1.1073405239732022E-2</v>
      </c>
      <c r="Q29" s="2">
        <f t="shared" si="5"/>
        <v>36416.983200000002</v>
      </c>
    </row>
    <row r="30" spans="1:17" x14ac:dyDescent="0.2">
      <c r="A30" s="24" t="s">
        <v>42</v>
      </c>
      <c r="B30" s="25"/>
      <c r="C30" s="60">
        <v>51812.413699999997</v>
      </c>
      <c r="D30" s="24">
        <v>1.6999999999999999E-3</v>
      </c>
      <c r="E30">
        <f t="shared" si="0"/>
        <v>252.00308877210901</v>
      </c>
      <c r="F30">
        <f t="shared" si="1"/>
        <v>252</v>
      </c>
      <c r="G30">
        <f t="shared" si="2"/>
        <v>4.6199999924283475E-3</v>
      </c>
      <c r="J30">
        <f>+G30</f>
        <v>4.6199999924283475E-3</v>
      </c>
      <c r="O30">
        <f t="shared" ca="1" si="4"/>
        <v>1.304685985839704E-2</v>
      </c>
      <c r="Q30" s="2">
        <f t="shared" si="5"/>
        <v>36793.913699999997</v>
      </c>
    </row>
    <row r="31" spans="1:17" x14ac:dyDescent="0.2">
      <c r="A31" s="24" t="s">
        <v>42</v>
      </c>
      <c r="B31" s="25"/>
      <c r="C31" s="60">
        <v>51827.37</v>
      </c>
      <c r="D31" s="24">
        <v>1.5E-3</v>
      </c>
      <c r="E31">
        <f t="shared" si="0"/>
        <v>262.0023533501809</v>
      </c>
      <c r="F31">
        <f t="shared" si="1"/>
        <v>262</v>
      </c>
      <c r="G31">
        <f t="shared" si="2"/>
        <v>3.5199999983888119E-3</v>
      </c>
      <c r="J31">
        <f>+G31</f>
        <v>3.5199999983888119E-3</v>
      </c>
      <c r="O31">
        <f t="shared" ca="1" si="4"/>
        <v>1.3125171549613906E-2</v>
      </c>
      <c r="Q31" s="2">
        <f t="shared" si="5"/>
        <v>36808.870000000003</v>
      </c>
    </row>
    <row r="32" spans="1:17" x14ac:dyDescent="0.2">
      <c r="A32" s="24" t="s">
        <v>42</v>
      </c>
      <c r="B32" s="26" t="s">
        <v>43</v>
      </c>
      <c r="C32" s="60">
        <v>52043.498</v>
      </c>
      <c r="D32" s="24">
        <v>3.0000000000000001E-3</v>
      </c>
      <c r="E32">
        <f t="shared" si="0"/>
        <v>406.4980544747059</v>
      </c>
      <c r="F32">
        <f t="shared" si="1"/>
        <v>406.5</v>
      </c>
      <c r="G32">
        <f t="shared" si="2"/>
        <v>-2.9100000028847717E-3</v>
      </c>
      <c r="J32">
        <f>+G32</f>
        <v>-2.9100000028847717E-3</v>
      </c>
      <c r="O32">
        <f t="shared" ca="1" si="4"/>
        <v>1.4256775487697618E-2</v>
      </c>
      <c r="Q32" s="2">
        <f t="shared" si="5"/>
        <v>37024.998</v>
      </c>
    </row>
    <row r="33" spans="1:17" x14ac:dyDescent="0.2">
      <c r="A33" s="24" t="s">
        <v>52</v>
      </c>
      <c r="B33" s="26" t="s">
        <v>43</v>
      </c>
      <c r="C33" s="60">
        <v>55434.381399999998</v>
      </c>
      <c r="D33" s="24">
        <v>1.4E-3</v>
      </c>
      <c r="E33">
        <f t="shared" si="0"/>
        <v>2673.5253453140222</v>
      </c>
      <c r="F33">
        <f t="shared" si="1"/>
        <v>2673.5</v>
      </c>
      <c r="G33">
        <f t="shared" si="2"/>
        <v>3.7909999991825316E-2</v>
      </c>
      <c r="K33">
        <f>+G33</f>
        <v>3.7909999991825316E-2</v>
      </c>
      <c r="O33">
        <f t="shared" ca="1" si="4"/>
        <v>3.2010035886561101E-2</v>
      </c>
      <c r="Q33" s="2">
        <f t="shared" si="5"/>
        <v>40415.881399999998</v>
      </c>
    </row>
    <row r="34" spans="1:17" x14ac:dyDescent="0.2">
      <c r="A34" s="24" t="s">
        <v>51</v>
      </c>
      <c r="B34" s="26" t="s">
        <v>47</v>
      </c>
      <c r="C34" s="60">
        <v>55834.483749999999</v>
      </c>
      <c r="D34" s="24">
        <v>7.9000000000000001E-4</v>
      </c>
      <c r="E34">
        <f t="shared" si="0"/>
        <v>2941.0199299343444</v>
      </c>
      <c r="F34">
        <f t="shared" si="1"/>
        <v>2941</v>
      </c>
      <c r="G34">
        <f t="shared" si="2"/>
        <v>2.9809999992721714E-2</v>
      </c>
      <c r="K34">
        <f>+G34</f>
        <v>2.9809999992721714E-2</v>
      </c>
      <c r="O34">
        <f t="shared" ca="1" si="4"/>
        <v>3.4104873626612256E-2</v>
      </c>
      <c r="Q34" s="2">
        <f t="shared" si="5"/>
        <v>40815.983749999999</v>
      </c>
    </row>
    <row r="35" spans="1:17" x14ac:dyDescent="0.2">
      <c r="A35" s="35" t="s">
        <v>54</v>
      </c>
      <c r="B35" s="36" t="s">
        <v>47</v>
      </c>
      <c r="C35" s="61">
        <v>56154.581570000002</v>
      </c>
      <c r="D35" s="37">
        <v>1.1000000000000001E-3</v>
      </c>
      <c r="E35">
        <f t="shared" si="0"/>
        <v>3155.026254562958</v>
      </c>
      <c r="F35">
        <f t="shared" si="1"/>
        <v>3155</v>
      </c>
      <c r="G35">
        <f t="shared" si="2"/>
        <v>3.9270000001124572E-2</v>
      </c>
      <c r="K35">
        <f>+G35</f>
        <v>3.9270000001124572E-2</v>
      </c>
      <c r="O35">
        <f t="shared" ca="1" si="4"/>
        <v>3.5780743818653191E-2</v>
      </c>
      <c r="Q35" s="2">
        <f t="shared" si="5"/>
        <v>41136.081570000002</v>
      </c>
    </row>
    <row r="36" spans="1:17" x14ac:dyDescent="0.2">
      <c r="A36" s="37" t="s">
        <v>55</v>
      </c>
      <c r="B36" s="36" t="s">
        <v>47</v>
      </c>
      <c r="C36" s="61">
        <v>56190.477879999999</v>
      </c>
      <c r="D36" s="37">
        <v>5.1000000000000004E-4</v>
      </c>
      <c r="E36">
        <f t="shared" si="0"/>
        <v>3179.0252851431369</v>
      </c>
      <c r="F36">
        <f t="shared" si="1"/>
        <v>3179</v>
      </c>
      <c r="G36">
        <f t="shared" si="2"/>
        <v>3.7819999997736886E-2</v>
      </c>
      <c r="K36">
        <f>+G36</f>
        <v>3.7819999997736886E-2</v>
      </c>
      <c r="O36">
        <f t="shared" ca="1" si="4"/>
        <v>3.5968691877573664E-2</v>
      </c>
      <c r="Q36" s="2">
        <f t="shared" si="5"/>
        <v>41171.977879999999</v>
      </c>
    </row>
    <row r="37" spans="1:17" x14ac:dyDescent="0.2">
      <c r="A37" s="51" t="s">
        <v>56</v>
      </c>
      <c r="B37" s="36"/>
      <c r="C37" s="62">
        <v>56929.374100000001</v>
      </c>
      <c r="D37" s="51">
        <v>1.2999999999999999E-2</v>
      </c>
      <c r="E37">
        <f t="shared" si="0"/>
        <v>3673.0257263962972</v>
      </c>
      <c r="F37">
        <f t="shared" si="1"/>
        <v>3673</v>
      </c>
      <c r="G37">
        <f t="shared" si="2"/>
        <v>3.8479999995615799E-2</v>
      </c>
      <c r="J37">
        <f>+G37</f>
        <v>3.8479999995615799E-2</v>
      </c>
      <c r="O37">
        <f t="shared" ca="1" si="4"/>
        <v>3.9837289423686841E-2</v>
      </c>
      <c r="Q37" s="2">
        <f t="shared" si="5"/>
        <v>41910.874100000001</v>
      </c>
    </row>
    <row r="38" spans="1:17" x14ac:dyDescent="0.2">
      <c r="A38" s="52" t="s">
        <v>1</v>
      </c>
      <c r="B38" s="53" t="s">
        <v>47</v>
      </c>
      <c r="C38" s="63">
        <v>57240.499199999998</v>
      </c>
      <c r="D38" s="54">
        <v>8.0999999999999996E-3</v>
      </c>
      <c r="E38">
        <f>+(C38-C$7)/C$8</f>
        <v>3881.0332009573822</v>
      </c>
      <c r="F38">
        <f t="shared" si="1"/>
        <v>3881</v>
      </c>
      <c r="G38">
        <f>+C38-(C$7+F38*C$8)</f>
        <v>4.965999999694759E-2</v>
      </c>
      <c r="K38">
        <f>+G38</f>
        <v>4.965999999694759E-2</v>
      </c>
      <c r="O38">
        <f ca="1">+C$11+C$12*$F38</f>
        <v>4.1466172600997643E-2</v>
      </c>
      <c r="Q38" s="2">
        <f>+C38-15018.5</f>
        <v>42221.999199999998</v>
      </c>
    </row>
    <row r="39" spans="1:17" x14ac:dyDescent="0.2">
      <c r="A39" s="55" t="s">
        <v>0</v>
      </c>
      <c r="B39" s="68" t="s">
        <v>47</v>
      </c>
      <c r="C39" s="64">
        <v>57940.506500000003</v>
      </c>
      <c r="D39" s="56">
        <v>4.4999999999999997E-3</v>
      </c>
      <c r="E39">
        <f>+(C39-C$7)/C$8</f>
        <v>4349.03385615147</v>
      </c>
      <c r="F39">
        <f t="shared" si="1"/>
        <v>4349</v>
      </c>
      <c r="G39">
        <f>+C39-(C$7+F39*C$8)</f>
        <v>5.0640000001294538E-2</v>
      </c>
      <c r="K39">
        <f>+G39</f>
        <v>5.0640000001294538E-2</v>
      </c>
      <c r="O39">
        <f ca="1">+C$11+C$12*$F39</f>
        <v>4.5131159749946963E-2</v>
      </c>
      <c r="Q39" s="2">
        <f>+C39-15018.5</f>
        <v>42922.006500000003</v>
      </c>
    </row>
    <row r="40" spans="1:17" x14ac:dyDescent="0.2">
      <c r="A40" s="57" t="s">
        <v>134</v>
      </c>
      <c r="B40" s="58" t="s">
        <v>47</v>
      </c>
      <c r="C40" s="65">
        <v>59886.473400000003</v>
      </c>
      <c r="D40" s="67">
        <v>1.18E-2</v>
      </c>
      <c r="E40">
        <f>+(C40-C$7)/C$8</f>
        <v>5650.0399802104639</v>
      </c>
      <c r="F40">
        <f t="shared" ref="F40" si="6">ROUND(2*E40,0)/2</f>
        <v>5650</v>
      </c>
      <c r="G40">
        <f>+C40-(C$7+F40*C$8)</f>
        <v>5.9800000002724119E-2</v>
      </c>
      <c r="K40">
        <f>+G40</f>
        <v>5.9800000002724119E-2</v>
      </c>
      <c r="O40">
        <f ca="1">+C$11+C$12*$F40</f>
        <v>5.5319510777261209E-2</v>
      </c>
      <c r="Q40" s="2">
        <f>+C40-15018.5</f>
        <v>44867.973400000003</v>
      </c>
    </row>
    <row r="41" spans="1:17" x14ac:dyDescent="0.2">
      <c r="B41" s="3"/>
      <c r="C41" s="59"/>
      <c r="D41" s="10"/>
    </row>
    <row r="42" spans="1:17" x14ac:dyDescent="0.2">
      <c r="B42" s="3"/>
      <c r="C42" s="59"/>
      <c r="D42" s="10"/>
    </row>
    <row r="43" spans="1:17" x14ac:dyDescent="0.2">
      <c r="B43" s="3"/>
      <c r="C43" s="59"/>
      <c r="D43" s="10"/>
    </row>
    <row r="44" spans="1:17" x14ac:dyDescent="0.2">
      <c r="B44" s="3"/>
      <c r="C44" s="59"/>
      <c r="D44" s="10"/>
    </row>
    <row r="45" spans="1:17" x14ac:dyDescent="0.2">
      <c r="B45" s="3"/>
      <c r="C45" s="10"/>
      <c r="D45" s="10"/>
    </row>
    <row r="46" spans="1:17" x14ac:dyDescent="0.2">
      <c r="B46" s="3"/>
      <c r="C46" s="10"/>
      <c r="D46" s="10"/>
    </row>
    <row r="47" spans="1:17" x14ac:dyDescent="0.2">
      <c r="B47" s="3"/>
      <c r="C47" s="10"/>
      <c r="D47" s="10"/>
    </row>
    <row r="48" spans="1:17" x14ac:dyDescent="0.2">
      <c r="B48" s="3"/>
      <c r="C48" s="10"/>
      <c r="D48" s="10"/>
    </row>
    <row r="49" spans="2:4" x14ac:dyDescent="0.2">
      <c r="B49" s="3"/>
      <c r="C49" s="10"/>
      <c r="D49" s="10"/>
    </row>
    <row r="50" spans="2:4" x14ac:dyDescent="0.2">
      <c r="B50" s="3"/>
      <c r="C50" s="10"/>
      <c r="D50" s="10"/>
    </row>
    <row r="51" spans="2:4" x14ac:dyDescent="0.2">
      <c r="B51" s="3"/>
      <c r="C51" s="10"/>
      <c r="D51" s="10"/>
    </row>
    <row r="52" spans="2:4" x14ac:dyDescent="0.2">
      <c r="B52" s="3"/>
      <c r="C52" s="10"/>
      <c r="D52" s="10"/>
    </row>
    <row r="53" spans="2:4" x14ac:dyDescent="0.2">
      <c r="B53" s="3"/>
      <c r="C53" s="10"/>
      <c r="D53" s="10"/>
    </row>
    <row r="54" spans="2:4" x14ac:dyDescent="0.2">
      <c r="B54" s="3"/>
      <c r="C54" s="10"/>
      <c r="D54" s="10"/>
    </row>
    <row r="55" spans="2:4" x14ac:dyDescent="0.2">
      <c r="B55" s="3"/>
      <c r="C55" s="10"/>
      <c r="D55" s="10"/>
    </row>
    <row r="56" spans="2:4" x14ac:dyDescent="0.2">
      <c r="B56" s="3"/>
      <c r="C56" s="10"/>
      <c r="D56" s="10"/>
    </row>
    <row r="57" spans="2:4" x14ac:dyDescent="0.2">
      <c r="B57" s="3"/>
      <c r="C57" s="10"/>
      <c r="D57" s="10"/>
    </row>
    <row r="58" spans="2:4" x14ac:dyDescent="0.2">
      <c r="B58" s="3"/>
      <c r="C58" s="10"/>
      <c r="D58" s="10"/>
    </row>
    <row r="59" spans="2:4" x14ac:dyDescent="0.2">
      <c r="B59" s="3"/>
      <c r="C59" s="10"/>
      <c r="D59" s="10"/>
    </row>
    <row r="60" spans="2:4" x14ac:dyDescent="0.2">
      <c r="B60" s="3"/>
      <c r="C60" s="10"/>
      <c r="D60" s="10"/>
    </row>
    <row r="61" spans="2:4" x14ac:dyDescent="0.2">
      <c r="B61" s="3"/>
      <c r="C61" s="10"/>
      <c r="D61" s="10"/>
    </row>
    <row r="62" spans="2:4" x14ac:dyDescent="0.2">
      <c r="B62" s="3"/>
      <c r="C62" s="10"/>
      <c r="D62" s="10"/>
    </row>
    <row r="63" spans="2:4" x14ac:dyDescent="0.2">
      <c r="B63" s="3"/>
      <c r="C63" s="10"/>
      <c r="D63" s="10"/>
    </row>
    <row r="64" spans="2:4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C215" s="10"/>
      <c r="D215" s="10"/>
    </row>
    <row r="216" spans="2:4" x14ac:dyDescent="0.2">
      <c r="C216" s="10"/>
      <c r="D216" s="10"/>
    </row>
    <row r="217" spans="2:4" x14ac:dyDescent="0.2">
      <c r="C217" s="10"/>
      <c r="D217" s="10"/>
    </row>
    <row r="218" spans="2:4" x14ac:dyDescent="0.2">
      <c r="C218" s="10"/>
      <c r="D218" s="10"/>
    </row>
    <row r="219" spans="2:4" x14ac:dyDescent="0.2">
      <c r="C219" s="10"/>
      <c r="D219" s="10"/>
    </row>
    <row r="220" spans="2:4" x14ac:dyDescent="0.2">
      <c r="C220" s="10"/>
      <c r="D220" s="10"/>
    </row>
    <row r="221" spans="2:4" x14ac:dyDescent="0.2">
      <c r="C221" s="10"/>
      <c r="D221" s="10"/>
    </row>
    <row r="222" spans="2:4" x14ac:dyDescent="0.2">
      <c r="C222" s="10"/>
      <c r="D222" s="10"/>
    </row>
    <row r="223" spans="2:4" x14ac:dyDescent="0.2">
      <c r="C223" s="10"/>
      <c r="D223" s="10"/>
    </row>
    <row r="224" spans="2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1942" r:id="rId1" display="http://vsolj.cetus-net.org/bulletin.html" xr:uid="{00000000-0004-0000-0000-000000000000}"/>
    <hyperlink ref="H64929" r:id="rId2" display="http://vsolj.cetus-net.org/bulletin.html" xr:uid="{00000000-0004-0000-0000-000001000000}"/>
    <hyperlink ref="H64922" r:id="rId3" display="https://www.aavso.org/ejaavso" xr:uid="{00000000-0004-0000-0000-000002000000}"/>
    <hyperlink ref="AP1073" r:id="rId4" display="http://cdsbib.u-strasbg.fr/cgi-bin/cdsbib?1990RMxAA..21..381G" xr:uid="{00000000-0004-0000-0000-000003000000}"/>
    <hyperlink ref="AP1077" r:id="rId5" display="http://cdsbib.u-strasbg.fr/cgi-bin/cdsbib?1990RMxAA..21..381G" xr:uid="{00000000-0004-0000-0000-000004000000}"/>
    <hyperlink ref="AP1076" r:id="rId6" display="http://cdsbib.u-strasbg.fr/cgi-bin/cdsbib?1990RMxAA..21..381G" xr:uid="{00000000-0004-0000-0000-000005000000}"/>
    <hyperlink ref="AP1057" r:id="rId7" display="http://cdsbib.u-strasbg.fr/cgi-bin/cdsbib?1990RMxAA..21..381G" xr:uid="{00000000-0004-0000-0000-000006000000}"/>
    <hyperlink ref="I64929" r:id="rId8" display="http://vsolj.cetus-net.org/bulletin.html" xr:uid="{00000000-0004-0000-0000-000007000000}"/>
    <hyperlink ref="AQ1213" r:id="rId9" display="http://cdsbib.u-strasbg.fr/cgi-bin/cdsbib?1990RMxAA..21..381G" xr:uid="{00000000-0004-0000-0000-000008000000}"/>
    <hyperlink ref="AQ55979" r:id="rId10" display="http://cdsbib.u-strasbg.fr/cgi-bin/cdsbib?1990RMxAA..21..381G" xr:uid="{00000000-0004-0000-0000-000009000000}"/>
    <hyperlink ref="AQ1214" r:id="rId11" display="http://cdsbib.u-strasbg.fr/cgi-bin/cdsbib?1990RMxAA..21..381G" xr:uid="{00000000-0004-0000-0000-00000A000000}"/>
    <hyperlink ref="H64926" r:id="rId12" display="https://www.aavso.org/ejaavso" xr:uid="{00000000-0004-0000-0000-00000B000000}"/>
    <hyperlink ref="H2099" r:id="rId13" display="http://vsolj.cetus-net.org/bulletin.html" xr:uid="{00000000-0004-0000-0000-00000C000000}"/>
    <hyperlink ref="AP3343" r:id="rId14" display="http://cdsbib.u-strasbg.fr/cgi-bin/cdsbib?1990RMxAA..21..381G" xr:uid="{00000000-0004-0000-0000-00000D000000}"/>
    <hyperlink ref="AP3346" r:id="rId15" display="http://cdsbib.u-strasbg.fr/cgi-bin/cdsbib?1990RMxAA..21..381G" xr:uid="{00000000-0004-0000-0000-00000E000000}"/>
    <hyperlink ref="AP3344" r:id="rId16" display="http://cdsbib.u-strasbg.fr/cgi-bin/cdsbib?1990RMxAA..21..381G" xr:uid="{00000000-0004-0000-0000-00000F000000}"/>
    <hyperlink ref="AP3328" r:id="rId17" display="http://cdsbib.u-strasbg.fr/cgi-bin/cdsbib?1990RMxAA..21..381G" xr:uid="{00000000-0004-0000-0000-000010000000}"/>
    <hyperlink ref="I2099" r:id="rId18" display="http://vsolj.cetus-net.org/bulletin.html" xr:uid="{00000000-0004-0000-0000-000011000000}"/>
    <hyperlink ref="AQ3557" r:id="rId19" display="http://cdsbib.u-strasbg.fr/cgi-bin/cdsbib?1990RMxAA..21..381G" xr:uid="{00000000-0004-0000-0000-000012000000}"/>
    <hyperlink ref="AQ258" r:id="rId20" display="http://cdsbib.u-strasbg.fr/cgi-bin/cdsbib?1990RMxAA..21..381G" xr:uid="{00000000-0004-0000-0000-000013000000}"/>
    <hyperlink ref="AQ356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39"/>
  <sheetViews>
    <sheetView workbookViewId="0">
      <selection activeCell="C2" sqref="C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40</v>
      </c>
    </row>
    <row r="2" spans="1:5" x14ac:dyDescent="0.2">
      <c r="A2" t="s">
        <v>26</v>
      </c>
      <c r="C2" s="3" t="s">
        <v>46</v>
      </c>
      <c r="D2" s="3"/>
    </row>
    <row r="3" spans="1:5" ht="13.5" thickBot="1" x14ac:dyDescent="0.25"/>
    <row r="4" spans="1:5" ht="14.25" thickTop="1" thickBot="1" x14ac:dyDescent="0.25">
      <c r="A4" s="5" t="s">
        <v>2</v>
      </c>
      <c r="C4" s="8" t="s">
        <v>31</v>
      </c>
      <c r="D4" s="9" t="s">
        <v>31</v>
      </c>
    </row>
    <row r="6" spans="1:5" x14ac:dyDescent="0.2">
      <c r="A6" s="5" t="s">
        <v>3</v>
      </c>
    </row>
    <row r="7" spans="1:5" x14ac:dyDescent="0.2">
      <c r="A7" t="s">
        <v>4</v>
      </c>
      <c r="C7" s="24">
        <v>51435.482600000003</v>
      </c>
    </row>
    <row r="8" spans="1:5" x14ac:dyDescent="0.2">
      <c r="A8" t="s">
        <v>5</v>
      </c>
      <c r="C8">
        <v>0.22489999999999999</v>
      </c>
    </row>
    <row r="9" spans="1:5" x14ac:dyDescent="0.2">
      <c r="A9" s="11" t="s">
        <v>33</v>
      </c>
      <c r="B9" s="12"/>
      <c r="C9" s="13">
        <v>8</v>
      </c>
      <c r="D9" s="12" t="s">
        <v>34</v>
      </c>
      <c r="E9" s="12"/>
    </row>
    <row r="10" spans="1:5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5" x14ac:dyDescent="0.2">
      <c r="A11" s="12" t="s">
        <v>17</v>
      </c>
      <c r="B11" s="12"/>
      <c r="C11" s="12">
        <f>INTERCEPT(G21:G997,F21:F997)</f>
        <v>4.5349465591798272E-6</v>
      </c>
      <c r="D11" s="3"/>
      <c r="E11" s="12"/>
    </row>
    <row r="12" spans="1:5" x14ac:dyDescent="0.2">
      <c r="A12" s="12" t="s">
        <v>18</v>
      </c>
      <c r="B12" s="12"/>
      <c r="C12" s="12">
        <f>SLOPE(G21:G997,F21:F997)</f>
        <v>-6.4000976753573942E-7</v>
      </c>
      <c r="D12" s="3"/>
      <c r="E12" s="12"/>
    </row>
    <row r="13" spans="1:5" x14ac:dyDescent="0.2">
      <c r="A13" s="12" t="s">
        <v>21</v>
      </c>
      <c r="B13" s="12"/>
      <c r="C13" s="3" t="s">
        <v>15</v>
      </c>
      <c r="D13" s="3"/>
      <c r="E13" s="12"/>
    </row>
    <row r="14" spans="1:5" x14ac:dyDescent="0.2">
      <c r="A14" s="12"/>
      <c r="B14" s="12"/>
      <c r="C14" s="12"/>
      <c r="D14" s="12"/>
      <c r="E14" s="12"/>
    </row>
    <row r="15" spans="1:5" x14ac:dyDescent="0.2">
      <c r="A15" s="14" t="s">
        <v>19</v>
      </c>
      <c r="B15" s="12"/>
      <c r="C15" s="15">
        <f>(C7+C11)+(C8+C12)*INT(MAX(F21:F3532))</f>
        <v>52043.385574588545</v>
      </c>
      <c r="D15" s="16" t="s">
        <v>35</v>
      </c>
      <c r="E15" s="17">
        <f ca="1">TODAY()+15018.5-B9/24</f>
        <v>60332.5</v>
      </c>
    </row>
    <row r="16" spans="1:5" x14ac:dyDescent="0.2">
      <c r="A16" s="18" t="s">
        <v>6</v>
      </c>
      <c r="B16" s="12"/>
      <c r="C16" s="19">
        <f>+C8+C12</f>
        <v>0.22489935999023244</v>
      </c>
      <c r="D16" s="16" t="s">
        <v>36</v>
      </c>
      <c r="E16" s="17">
        <f ca="1">ROUND(2*(E15-C15)/C16,0)/2+1</f>
        <v>36858</v>
      </c>
    </row>
    <row r="17" spans="1:17" ht="13.5" thickBot="1" x14ac:dyDescent="0.25">
      <c r="A17" s="16" t="s">
        <v>32</v>
      </c>
      <c r="B17" s="12"/>
      <c r="C17" s="12">
        <f>COUNT(C21:C2190)</f>
        <v>4</v>
      </c>
      <c r="D17" s="16" t="s">
        <v>37</v>
      </c>
      <c r="E17" s="20">
        <f ca="1">+C15+C16*E16-15018.5-C9/24</f>
        <v>45313.892851775199</v>
      </c>
    </row>
    <row r="18" spans="1:17" ht="14.25" thickTop="1" thickBot="1" x14ac:dyDescent="0.25">
      <c r="A18" s="18" t="s">
        <v>7</v>
      </c>
      <c r="B18" s="12"/>
      <c r="C18" s="21">
        <f>+C15</f>
        <v>52043.385574588545</v>
      </c>
      <c r="D18" s="22">
        <f>+C16</f>
        <v>0.22489935999023244</v>
      </c>
      <c r="E18" s="23" t="s">
        <v>38</v>
      </c>
    </row>
    <row r="19" spans="1:17" ht="13.5" thickTop="1" x14ac:dyDescent="0.2"/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44</v>
      </c>
      <c r="I20" s="7" t="s">
        <v>39</v>
      </c>
      <c r="J20" s="7" t="s">
        <v>20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16</v>
      </c>
    </row>
    <row r="21" spans="1:17" x14ac:dyDescent="0.2">
      <c r="A21" s="24" t="s">
        <v>41</v>
      </c>
      <c r="B21" s="25"/>
      <c r="C21" s="24">
        <v>51435.482600000003</v>
      </c>
      <c r="D21" s="24">
        <v>1E-3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4.5349465591798272E-6</v>
      </c>
      <c r="Q21" s="2">
        <f>+C21-15018.5</f>
        <v>36416.982600000003</v>
      </c>
    </row>
    <row r="22" spans="1:17" x14ac:dyDescent="0.2">
      <c r="A22" s="24" t="s">
        <v>42</v>
      </c>
      <c r="B22" s="25"/>
      <c r="C22" s="24">
        <v>51812.413699999997</v>
      </c>
      <c r="D22" s="24">
        <v>1.6999999999999999E-3</v>
      </c>
      <c r="E22">
        <f>+(C22-C$7)/C$8</f>
        <v>1675.994219653154</v>
      </c>
      <c r="F22">
        <f>ROUND(2*E22,0)/2</f>
        <v>1676</v>
      </c>
      <c r="G22">
        <f>+C22-(C$7+F22*C$8)</f>
        <v>-1.3000000035390258E-3</v>
      </c>
      <c r="H22">
        <f>+G22</f>
        <v>-1.3000000035390258E-3</v>
      </c>
      <c r="O22">
        <f>+C$11+C$12*$F22</f>
        <v>-1.0681214238307194E-3</v>
      </c>
      <c r="Q22" s="2">
        <f>+C22-15018.5</f>
        <v>36793.913699999997</v>
      </c>
    </row>
    <row r="23" spans="1:17" x14ac:dyDescent="0.2">
      <c r="A23" s="24" t="s">
        <v>42</v>
      </c>
      <c r="B23" s="25"/>
      <c r="C23" s="24">
        <v>51827.37</v>
      </c>
      <c r="D23" s="24">
        <v>1.5E-3</v>
      </c>
      <c r="E23">
        <f>+(C23-C$7)/C$8</f>
        <v>1742.4962205424617</v>
      </c>
      <c r="F23">
        <f>ROUND(2*E23,0)/2</f>
        <v>1742.5</v>
      </c>
      <c r="G23">
        <f>+C23-(C$7+F23*C$8)</f>
        <v>-8.5000000399304554E-4</v>
      </c>
      <c r="H23">
        <f>+G23</f>
        <v>-8.5000000399304554E-4</v>
      </c>
      <c r="O23">
        <f>+C$11+C$12*$F23</f>
        <v>-1.1106820733718461E-3</v>
      </c>
      <c r="Q23" s="2">
        <f>+C23-15018.5</f>
        <v>36808.870000000003</v>
      </c>
    </row>
    <row r="24" spans="1:17" x14ac:dyDescent="0.2">
      <c r="A24" s="24" t="s">
        <v>42</v>
      </c>
      <c r="B24" s="26" t="s">
        <v>43</v>
      </c>
      <c r="C24" s="24">
        <v>52043.498</v>
      </c>
      <c r="D24" s="24">
        <v>3.0000000000000001E-3</v>
      </c>
      <c r="E24">
        <f>+(C24-C$7)/C$8</f>
        <v>2703.4922187638799</v>
      </c>
      <c r="F24">
        <f>ROUND(2*E24,0)/2</f>
        <v>2703.5</v>
      </c>
      <c r="G24">
        <f>+C24-(C$7+F24*C$8)</f>
        <v>-1.750000003085006E-3</v>
      </c>
      <c r="H24">
        <f>+G24</f>
        <v>-1.750000003085006E-3</v>
      </c>
      <c r="O24">
        <f>+C$11+C$12*$F24</f>
        <v>-1.7257314599736916E-3</v>
      </c>
      <c r="Q24" s="2">
        <f>+C24-15018.5</f>
        <v>37024.998</v>
      </c>
    </row>
    <row r="25" spans="1:17" x14ac:dyDescent="0.2">
      <c r="A25" s="24" t="s">
        <v>45</v>
      </c>
      <c r="C25" s="10"/>
      <c r="D25" s="10"/>
      <c r="Q25" s="2"/>
    </row>
    <row r="26" spans="1:17" x14ac:dyDescent="0.2">
      <c r="A26" s="24" t="s">
        <v>45</v>
      </c>
      <c r="C26" s="10"/>
      <c r="D26" s="10"/>
      <c r="Q26" s="2"/>
    </row>
    <row r="27" spans="1:17" x14ac:dyDescent="0.2">
      <c r="A27" s="24" t="s">
        <v>45</v>
      </c>
      <c r="C27" s="10"/>
      <c r="D27" s="10"/>
      <c r="Q27" s="2"/>
    </row>
    <row r="28" spans="1:17" x14ac:dyDescent="0.2">
      <c r="A28" s="24" t="s">
        <v>45</v>
      </c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21"/>
  <sheetViews>
    <sheetView topLeftCell="A6" workbookViewId="0">
      <selection activeCell="A25" sqref="A25:D2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57</v>
      </c>
      <c r="I1" s="39" t="s">
        <v>58</v>
      </c>
      <c r="J1" s="40" t="s">
        <v>59</v>
      </c>
    </row>
    <row r="2" spans="1:16" x14ac:dyDescent="0.2">
      <c r="I2" s="41" t="s">
        <v>60</v>
      </c>
      <c r="J2" s="42" t="s">
        <v>61</v>
      </c>
    </row>
    <row r="3" spans="1:16" x14ac:dyDescent="0.2">
      <c r="A3" s="43" t="s">
        <v>62</v>
      </c>
      <c r="I3" s="41" t="s">
        <v>63</v>
      </c>
      <c r="J3" s="42" t="s">
        <v>64</v>
      </c>
    </row>
    <row r="4" spans="1:16" x14ac:dyDescent="0.2">
      <c r="I4" s="41" t="s">
        <v>65</v>
      </c>
      <c r="J4" s="42" t="s">
        <v>64</v>
      </c>
    </row>
    <row r="5" spans="1:16" ht="13.5" thickBot="1" x14ac:dyDescent="0.25">
      <c r="I5" s="44" t="s">
        <v>66</v>
      </c>
      <c r="J5" s="45" t="s">
        <v>67</v>
      </c>
    </row>
    <row r="10" spans="1:16" ht="13.5" thickBot="1" x14ac:dyDescent="0.25"/>
    <row r="11" spans="1:16" ht="12.75" customHeight="1" thickBot="1" x14ac:dyDescent="0.25">
      <c r="A11" s="10" t="str">
        <f t="shared" ref="A11:A26" si="0">P11</f>
        <v>BAVM 64 </v>
      </c>
      <c r="B11" s="3" t="str">
        <f t="shared" ref="B11:B26" si="1">IF(H11=INT(H11),"I","II")</f>
        <v>I</v>
      </c>
      <c r="C11" s="10">
        <f t="shared" ref="C11:C26" si="2">1*G11</f>
        <v>48484.393799999998</v>
      </c>
      <c r="D11" s="12" t="str">
        <f t="shared" ref="D11:D26" si="3">VLOOKUP(F11,I$1:J$5,2,FALSE)</f>
        <v>vis</v>
      </c>
      <c r="E11" s="46">
        <f>VLOOKUP(C11,Active!C$21:E$973,3,FALSE)</f>
        <v>-1972.9958415232627</v>
      </c>
      <c r="F11" s="3" t="s">
        <v>66</v>
      </c>
      <c r="G11" s="12" t="str">
        <f t="shared" ref="G11:G26" si="4">MID(I11,3,LEN(I11)-3)</f>
        <v>48484.3938</v>
      </c>
      <c r="H11" s="10">
        <f t="shared" ref="H11:H26" si="5">1*K11</f>
        <v>-2685</v>
      </c>
      <c r="I11" s="47" t="s">
        <v>68</v>
      </c>
      <c r="J11" s="48" t="s">
        <v>69</v>
      </c>
      <c r="K11" s="47">
        <v>-2685</v>
      </c>
      <c r="L11" s="47" t="s">
        <v>70</v>
      </c>
      <c r="M11" s="48" t="s">
        <v>71</v>
      </c>
      <c r="N11" s="48" t="s">
        <v>72</v>
      </c>
      <c r="O11" s="49" t="s">
        <v>73</v>
      </c>
      <c r="P11" s="50" t="s">
        <v>74</v>
      </c>
    </row>
    <row r="12" spans="1:16" ht="12.75" customHeight="1" thickBot="1" x14ac:dyDescent="0.25">
      <c r="A12" s="10" t="str">
        <f t="shared" si="0"/>
        <v>BAVM 64 </v>
      </c>
      <c r="B12" s="3" t="str">
        <f t="shared" si="1"/>
        <v>I</v>
      </c>
      <c r="C12" s="10">
        <f t="shared" si="2"/>
        <v>48490.373099999997</v>
      </c>
      <c r="D12" s="12" t="str">
        <f t="shared" si="3"/>
        <v>vis</v>
      </c>
      <c r="E12" s="46">
        <f>VLOOKUP(C12,Active!C$21:E$973,3,FALSE)</f>
        <v>-1968.9982884725994</v>
      </c>
      <c r="F12" s="3" t="s">
        <v>66</v>
      </c>
      <c r="G12" s="12" t="str">
        <f t="shared" si="4"/>
        <v>48490.3731</v>
      </c>
      <c r="H12" s="10">
        <f t="shared" si="5"/>
        <v>-2681</v>
      </c>
      <c r="I12" s="47" t="s">
        <v>75</v>
      </c>
      <c r="J12" s="48" t="s">
        <v>76</v>
      </c>
      <c r="K12" s="47">
        <v>-2681</v>
      </c>
      <c r="L12" s="47" t="s">
        <v>77</v>
      </c>
      <c r="M12" s="48" t="s">
        <v>71</v>
      </c>
      <c r="N12" s="48" t="s">
        <v>72</v>
      </c>
      <c r="O12" s="49" t="s">
        <v>73</v>
      </c>
      <c r="P12" s="50" t="s">
        <v>74</v>
      </c>
    </row>
    <row r="13" spans="1:16" ht="12.75" customHeight="1" thickBot="1" x14ac:dyDescent="0.25">
      <c r="A13" s="10" t="str">
        <f t="shared" si="0"/>
        <v>BAVM 64 </v>
      </c>
      <c r="B13" s="3" t="str">
        <f t="shared" si="1"/>
        <v>II</v>
      </c>
      <c r="C13" s="10">
        <f t="shared" si="2"/>
        <v>48498.600400000003</v>
      </c>
      <c r="D13" s="12" t="str">
        <f t="shared" si="3"/>
        <v>vis</v>
      </c>
      <c r="E13" s="46">
        <f>VLOOKUP(C13,Active!C$21:E$973,3,FALSE)</f>
        <v>-1963.497800419859</v>
      </c>
      <c r="F13" s="3" t="s">
        <v>66</v>
      </c>
      <c r="G13" s="12" t="str">
        <f t="shared" si="4"/>
        <v>48498.6004</v>
      </c>
      <c r="H13" s="10">
        <f t="shared" si="5"/>
        <v>-2675.5</v>
      </c>
      <c r="I13" s="47" t="s">
        <v>78</v>
      </c>
      <c r="J13" s="48" t="s">
        <v>79</v>
      </c>
      <c r="K13" s="47">
        <v>-2675.5</v>
      </c>
      <c r="L13" s="47" t="s">
        <v>80</v>
      </c>
      <c r="M13" s="48" t="s">
        <v>71</v>
      </c>
      <c r="N13" s="48" t="s">
        <v>72</v>
      </c>
      <c r="O13" s="49" t="s">
        <v>73</v>
      </c>
      <c r="P13" s="50" t="s">
        <v>74</v>
      </c>
    </row>
    <row r="14" spans="1:16" ht="12.75" customHeight="1" thickBot="1" x14ac:dyDescent="0.25">
      <c r="A14" s="10" t="str">
        <f t="shared" si="0"/>
        <v>BAVM 64 </v>
      </c>
      <c r="B14" s="3" t="str">
        <f t="shared" si="1"/>
        <v>II</v>
      </c>
      <c r="C14" s="10">
        <f t="shared" si="2"/>
        <v>48501.590300000003</v>
      </c>
      <c r="D14" s="12" t="str">
        <f t="shared" si="3"/>
        <v>vis</v>
      </c>
      <c r="E14" s="46">
        <f>VLOOKUP(C14,Active!C$21:E$973,3,FALSE)</f>
        <v>-1961.4988567531786</v>
      </c>
      <c r="F14" s="3" t="s">
        <v>66</v>
      </c>
      <c r="G14" s="12" t="str">
        <f t="shared" si="4"/>
        <v>48501.5903</v>
      </c>
      <c r="H14" s="10">
        <f t="shared" si="5"/>
        <v>-2673.5</v>
      </c>
      <c r="I14" s="47" t="s">
        <v>81</v>
      </c>
      <c r="J14" s="48" t="s">
        <v>82</v>
      </c>
      <c r="K14" s="47">
        <v>-2673.5</v>
      </c>
      <c r="L14" s="47" t="s">
        <v>83</v>
      </c>
      <c r="M14" s="48" t="s">
        <v>71</v>
      </c>
      <c r="N14" s="48" t="s">
        <v>72</v>
      </c>
      <c r="O14" s="49" t="s">
        <v>73</v>
      </c>
      <c r="P14" s="50" t="s">
        <v>74</v>
      </c>
    </row>
    <row r="15" spans="1:16" ht="12.75" customHeight="1" thickBot="1" x14ac:dyDescent="0.25">
      <c r="A15" s="10" t="str">
        <f t="shared" si="0"/>
        <v>BAVM 64 </v>
      </c>
      <c r="B15" s="3" t="str">
        <f t="shared" si="1"/>
        <v>I</v>
      </c>
      <c r="C15" s="10">
        <f t="shared" si="2"/>
        <v>48843.367899999997</v>
      </c>
      <c r="D15" s="12" t="str">
        <f t="shared" si="3"/>
        <v>vis</v>
      </c>
      <c r="E15" s="46">
        <f>VLOOKUP(C15,Active!C$21:E$973,3,FALSE)</f>
        <v>-1732.9981815021363</v>
      </c>
      <c r="F15" s="3" t="s">
        <v>66</v>
      </c>
      <c r="G15" s="12" t="str">
        <f t="shared" si="4"/>
        <v>48843.3679</v>
      </c>
      <c r="H15" s="10">
        <f t="shared" si="5"/>
        <v>-2445</v>
      </c>
      <c r="I15" s="47" t="s">
        <v>84</v>
      </c>
      <c r="J15" s="48" t="s">
        <v>85</v>
      </c>
      <c r="K15" s="47">
        <v>-2445</v>
      </c>
      <c r="L15" s="47" t="s">
        <v>86</v>
      </c>
      <c r="M15" s="48" t="s">
        <v>71</v>
      </c>
      <c r="N15" s="48" t="s">
        <v>72</v>
      </c>
      <c r="O15" s="49" t="s">
        <v>73</v>
      </c>
      <c r="P15" s="50" t="s">
        <v>74</v>
      </c>
    </row>
    <row r="16" spans="1:16" ht="12.75" customHeight="1" thickBot="1" x14ac:dyDescent="0.25">
      <c r="A16" s="10" t="str">
        <f t="shared" si="0"/>
        <v>BAVM 64 </v>
      </c>
      <c r="B16" s="3" t="str">
        <f t="shared" si="1"/>
        <v>II</v>
      </c>
      <c r="C16" s="10">
        <f t="shared" si="2"/>
        <v>48872.538099999998</v>
      </c>
      <c r="D16" s="12" t="str">
        <f t="shared" si="3"/>
        <v>vis</v>
      </c>
      <c r="E16" s="46">
        <f>VLOOKUP(C16,Active!C$21:E$973,3,FALSE)</f>
        <v>-1713.4959952933029</v>
      </c>
      <c r="F16" s="3" t="s">
        <v>66</v>
      </c>
      <c r="G16" s="12" t="str">
        <f t="shared" si="4"/>
        <v>48872.5381</v>
      </c>
      <c r="H16" s="10">
        <f t="shared" si="5"/>
        <v>-2425.5</v>
      </c>
      <c r="I16" s="47" t="s">
        <v>87</v>
      </c>
      <c r="J16" s="48" t="s">
        <v>88</v>
      </c>
      <c r="K16" s="47">
        <v>-2425.5</v>
      </c>
      <c r="L16" s="47" t="s">
        <v>89</v>
      </c>
      <c r="M16" s="48" t="s">
        <v>71</v>
      </c>
      <c r="N16" s="48" t="s">
        <v>72</v>
      </c>
      <c r="O16" s="49" t="s">
        <v>73</v>
      </c>
      <c r="P16" s="50" t="s">
        <v>74</v>
      </c>
    </row>
    <row r="17" spans="1:16" ht="12.75" customHeight="1" thickBot="1" x14ac:dyDescent="0.25">
      <c r="A17" s="10" t="str">
        <f t="shared" si="0"/>
        <v>BAVM 152 </v>
      </c>
      <c r="B17" s="3" t="str">
        <f t="shared" si="1"/>
        <v>I</v>
      </c>
      <c r="C17" s="10">
        <f t="shared" si="2"/>
        <v>51812.413699999997</v>
      </c>
      <c r="D17" s="12" t="str">
        <f t="shared" si="3"/>
        <v>vis</v>
      </c>
      <c r="E17" s="46">
        <f>VLOOKUP(C17,Active!C$21:E$973,3,FALSE)</f>
        <v>252.00308877210901</v>
      </c>
      <c r="F17" s="3" t="s">
        <v>66</v>
      </c>
      <c r="G17" s="12" t="str">
        <f t="shared" si="4"/>
        <v>51812.4137</v>
      </c>
      <c r="H17" s="10">
        <f t="shared" si="5"/>
        <v>-460</v>
      </c>
      <c r="I17" s="47" t="s">
        <v>99</v>
      </c>
      <c r="J17" s="48" t="s">
        <v>100</v>
      </c>
      <c r="K17" s="47">
        <v>-460</v>
      </c>
      <c r="L17" s="47" t="s">
        <v>101</v>
      </c>
      <c r="M17" s="48" t="s">
        <v>71</v>
      </c>
      <c r="N17" s="48" t="s">
        <v>72</v>
      </c>
      <c r="O17" s="49" t="s">
        <v>94</v>
      </c>
      <c r="P17" s="50" t="s">
        <v>102</v>
      </c>
    </row>
    <row r="18" spans="1:16" ht="12.75" customHeight="1" thickBot="1" x14ac:dyDescent="0.25">
      <c r="A18" s="10" t="str">
        <f t="shared" si="0"/>
        <v>BAVM 152 </v>
      </c>
      <c r="B18" s="3" t="str">
        <f t="shared" si="1"/>
        <v>I</v>
      </c>
      <c r="C18" s="10">
        <f t="shared" si="2"/>
        <v>51827.37</v>
      </c>
      <c r="D18" s="12" t="str">
        <f t="shared" si="3"/>
        <v>vis</v>
      </c>
      <c r="E18" s="46">
        <f>VLOOKUP(C18,Active!C$21:E$973,3,FALSE)</f>
        <v>262.0023533501809</v>
      </c>
      <c r="F18" s="3" t="s">
        <v>66</v>
      </c>
      <c r="G18" s="12" t="str">
        <f t="shared" si="4"/>
        <v>51827.3700</v>
      </c>
      <c r="H18" s="10">
        <f t="shared" si="5"/>
        <v>-450</v>
      </c>
      <c r="I18" s="47" t="s">
        <v>103</v>
      </c>
      <c r="J18" s="48" t="s">
        <v>104</v>
      </c>
      <c r="K18" s="47">
        <v>-450</v>
      </c>
      <c r="L18" s="47" t="s">
        <v>105</v>
      </c>
      <c r="M18" s="48" t="s">
        <v>71</v>
      </c>
      <c r="N18" s="48" t="s">
        <v>72</v>
      </c>
      <c r="O18" s="49" t="s">
        <v>94</v>
      </c>
      <c r="P18" s="50" t="s">
        <v>102</v>
      </c>
    </row>
    <row r="19" spans="1:16" ht="12.75" customHeight="1" thickBot="1" x14ac:dyDescent="0.25">
      <c r="A19" s="10" t="str">
        <f t="shared" si="0"/>
        <v>BAVM 152 </v>
      </c>
      <c r="B19" s="3" t="str">
        <f t="shared" si="1"/>
        <v>II</v>
      </c>
      <c r="C19" s="10">
        <f t="shared" si="2"/>
        <v>52043.498</v>
      </c>
      <c r="D19" s="12" t="str">
        <f t="shared" si="3"/>
        <v>vis</v>
      </c>
      <c r="E19" s="46">
        <f>VLOOKUP(C19,Active!C$21:E$973,3,FALSE)</f>
        <v>406.4980544747059</v>
      </c>
      <c r="F19" s="3" t="s">
        <v>66</v>
      </c>
      <c r="G19" s="12" t="str">
        <f t="shared" si="4"/>
        <v>52043.498</v>
      </c>
      <c r="H19" s="10">
        <f t="shared" si="5"/>
        <v>-305.5</v>
      </c>
      <c r="I19" s="47" t="s">
        <v>106</v>
      </c>
      <c r="J19" s="48" t="s">
        <v>107</v>
      </c>
      <c r="K19" s="47">
        <v>-305.5</v>
      </c>
      <c r="L19" s="47" t="s">
        <v>108</v>
      </c>
      <c r="M19" s="48" t="s">
        <v>71</v>
      </c>
      <c r="N19" s="48" t="s">
        <v>72</v>
      </c>
      <c r="O19" s="49" t="s">
        <v>94</v>
      </c>
      <c r="P19" s="50" t="s">
        <v>102</v>
      </c>
    </row>
    <row r="20" spans="1:16" ht="12.75" customHeight="1" thickBot="1" x14ac:dyDescent="0.25">
      <c r="A20" s="10" t="str">
        <f t="shared" si="0"/>
        <v>IBVS 5997 </v>
      </c>
      <c r="B20" s="3" t="str">
        <f t="shared" si="1"/>
        <v>II</v>
      </c>
      <c r="C20" s="10">
        <f t="shared" si="2"/>
        <v>55434.381399999998</v>
      </c>
      <c r="D20" s="12" t="str">
        <f t="shared" si="3"/>
        <v>vis</v>
      </c>
      <c r="E20" s="46">
        <f>VLOOKUP(C20,Active!C$21:E$973,3,FALSE)</f>
        <v>2673.5253453140222</v>
      </c>
      <c r="F20" s="3" t="s">
        <v>66</v>
      </c>
      <c r="G20" s="12" t="str">
        <f t="shared" si="4"/>
        <v>55434.3814</v>
      </c>
      <c r="H20" s="10">
        <f t="shared" si="5"/>
        <v>1961.5</v>
      </c>
      <c r="I20" s="47" t="s">
        <v>109</v>
      </c>
      <c r="J20" s="48" t="s">
        <v>110</v>
      </c>
      <c r="K20" s="47">
        <v>1961.5</v>
      </c>
      <c r="L20" s="47" t="s">
        <v>111</v>
      </c>
      <c r="M20" s="48" t="s">
        <v>112</v>
      </c>
      <c r="N20" s="48" t="s">
        <v>47</v>
      </c>
      <c r="O20" s="49" t="s">
        <v>113</v>
      </c>
      <c r="P20" s="50" t="s">
        <v>114</v>
      </c>
    </row>
    <row r="21" spans="1:16" ht="12.75" customHeight="1" thickBot="1" x14ac:dyDescent="0.25">
      <c r="A21" s="10" t="str">
        <f t="shared" si="0"/>
        <v>IBVS 6007 </v>
      </c>
      <c r="B21" s="3" t="str">
        <f t="shared" si="1"/>
        <v>I</v>
      </c>
      <c r="C21" s="10">
        <f t="shared" si="2"/>
        <v>55834.483749999999</v>
      </c>
      <c r="D21" s="12" t="str">
        <f t="shared" si="3"/>
        <v>vis</v>
      </c>
      <c r="E21" s="46">
        <f>VLOOKUP(C21,Active!C$21:E$973,3,FALSE)</f>
        <v>2941.0199299343444</v>
      </c>
      <c r="F21" s="3" t="s">
        <v>66</v>
      </c>
      <c r="G21" s="12" t="str">
        <f t="shared" si="4"/>
        <v>55834.48375</v>
      </c>
      <c r="H21" s="10">
        <f t="shared" si="5"/>
        <v>2229</v>
      </c>
      <c r="I21" s="47" t="s">
        <v>115</v>
      </c>
      <c r="J21" s="48" t="s">
        <v>116</v>
      </c>
      <c r="K21" s="47">
        <v>2229</v>
      </c>
      <c r="L21" s="47" t="s">
        <v>117</v>
      </c>
      <c r="M21" s="48" t="s">
        <v>112</v>
      </c>
      <c r="N21" s="48" t="s">
        <v>118</v>
      </c>
      <c r="O21" s="49" t="s">
        <v>119</v>
      </c>
      <c r="P21" s="50" t="s">
        <v>120</v>
      </c>
    </row>
    <row r="22" spans="1:16" ht="12.75" customHeight="1" thickBot="1" x14ac:dyDescent="0.25">
      <c r="A22" s="10" t="str">
        <f t="shared" si="0"/>
        <v>OEJV 0160 </v>
      </c>
      <c r="B22" s="3" t="str">
        <f t="shared" si="1"/>
        <v>I</v>
      </c>
      <c r="C22" s="10">
        <f t="shared" si="2"/>
        <v>56154.581570000002</v>
      </c>
      <c r="D22" s="12" t="str">
        <f t="shared" si="3"/>
        <v>vis</v>
      </c>
      <c r="E22" s="46">
        <f>VLOOKUP(C22,Active!C$21:E$973,3,FALSE)</f>
        <v>3155.026254562958</v>
      </c>
      <c r="F22" s="3" t="s">
        <v>66</v>
      </c>
      <c r="G22" s="12" t="str">
        <f t="shared" si="4"/>
        <v>56154.58157</v>
      </c>
      <c r="H22" s="10">
        <f t="shared" si="5"/>
        <v>2443</v>
      </c>
      <c r="I22" s="47" t="s">
        <v>121</v>
      </c>
      <c r="J22" s="48" t="s">
        <v>122</v>
      </c>
      <c r="K22" s="47">
        <v>2443</v>
      </c>
      <c r="L22" s="47" t="s">
        <v>123</v>
      </c>
      <c r="M22" s="48" t="s">
        <v>112</v>
      </c>
      <c r="N22" s="48" t="s">
        <v>58</v>
      </c>
      <c r="O22" s="49" t="s">
        <v>124</v>
      </c>
      <c r="P22" s="50" t="s">
        <v>125</v>
      </c>
    </row>
    <row r="23" spans="1:16" ht="12.75" customHeight="1" thickBot="1" x14ac:dyDescent="0.25">
      <c r="A23" s="10" t="str">
        <f t="shared" si="0"/>
        <v>IBVS 6114 </v>
      </c>
      <c r="B23" s="3" t="str">
        <f t="shared" si="1"/>
        <v>I</v>
      </c>
      <c r="C23" s="10">
        <f t="shared" si="2"/>
        <v>56190.477879999999</v>
      </c>
      <c r="D23" s="12" t="str">
        <f t="shared" si="3"/>
        <v>vis</v>
      </c>
      <c r="E23" s="46">
        <f>VLOOKUP(C23,Active!C$21:E$973,3,FALSE)</f>
        <v>3179.0252851431369</v>
      </c>
      <c r="F23" s="3" t="s">
        <v>66</v>
      </c>
      <c r="G23" s="12" t="str">
        <f t="shared" si="4"/>
        <v>56190.47788</v>
      </c>
      <c r="H23" s="10">
        <f t="shared" si="5"/>
        <v>2467</v>
      </c>
      <c r="I23" s="47" t="s">
        <v>126</v>
      </c>
      <c r="J23" s="48" t="s">
        <v>127</v>
      </c>
      <c r="K23" s="47">
        <v>2467</v>
      </c>
      <c r="L23" s="47" t="s">
        <v>128</v>
      </c>
      <c r="M23" s="48" t="s">
        <v>112</v>
      </c>
      <c r="N23" s="48" t="s">
        <v>58</v>
      </c>
      <c r="O23" s="49" t="s">
        <v>119</v>
      </c>
      <c r="P23" s="50" t="s">
        <v>129</v>
      </c>
    </row>
    <row r="24" spans="1:16" ht="12.75" customHeight="1" thickBot="1" x14ac:dyDescent="0.25">
      <c r="A24" s="10" t="str">
        <f t="shared" si="0"/>
        <v>BAVM 239 </v>
      </c>
      <c r="B24" s="3" t="str">
        <f t="shared" si="1"/>
        <v>I</v>
      </c>
      <c r="C24" s="10">
        <f t="shared" si="2"/>
        <v>56929.374100000001</v>
      </c>
      <c r="D24" s="12" t="str">
        <f t="shared" si="3"/>
        <v>vis</v>
      </c>
      <c r="E24" s="46">
        <f>VLOOKUP(C24,Active!C$21:E$973,3,FALSE)</f>
        <v>3673.0257263962972</v>
      </c>
      <c r="F24" s="3" t="s">
        <v>66</v>
      </c>
      <c r="G24" s="12" t="str">
        <f t="shared" si="4"/>
        <v>56929.3741</v>
      </c>
      <c r="H24" s="10">
        <f t="shared" si="5"/>
        <v>2961</v>
      </c>
      <c r="I24" s="47" t="s">
        <v>130</v>
      </c>
      <c r="J24" s="48" t="s">
        <v>131</v>
      </c>
      <c r="K24" s="47">
        <v>2961</v>
      </c>
      <c r="L24" s="47" t="s">
        <v>132</v>
      </c>
      <c r="M24" s="48" t="s">
        <v>112</v>
      </c>
      <c r="N24" s="48">
        <v>0</v>
      </c>
      <c r="O24" s="49" t="s">
        <v>94</v>
      </c>
      <c r="P24" s="50" t="s">
        <v>133</v>
      </c>
    </row>
    <row r="25" spans="1:16" ht="12.75" customHeight="1" thickBot="1" x14ac:dyDescent="0.25">
      <c r="A25" s="10" t="str">
        <f t="shared" si="0"/>
        <v>BAVM 132 </v>
      </c>
      <c r="B25" s="3" t="str">
        <f t="shared" si="1"/>
        <v>I</v>
      </c>
      <c r="C25" s="10">
        <f t="shared" si="2"/>
        <v>51435.482000000004</v>
      </c>
      <c r="D25" s="12" t="str">
        <f t="shared" si="3"/>
        <v>vis</v>
      </c>
      <c r="E25" s="46">
        <f>VLOOKUP(C25,Active!C$21:E$973,3,FALSE)</f>
        <v>-4.0113923502389472E-4</v>
      </c>
      <c r="F25" s="3" t="s">
        <v>66</v>
      </c>
      <c r="G25" s="12" t="str">
        <f t="shared" si="4"/>
        <v>51435.4820</v>
      </c>
      <c r="H25" s="10">
        <f t="shared" si="5"/>
        <v>-712</v>
      </c>
      <c r="I25" s="47" t="s">
        <v>90</v>
      </c>
      <c r="J25" s="48" t="s">
        <v>91</v>
      </c>
      <c r="K25" s="47">
        <v>-712</v>
      </c>
      <c r="L25" s="47" t="s">
        <v>92</v>
      </c>
      <c r="M25" s="48" t="s">
        <v>71</v>
      </c>
      <c r="N25" s="48" t="s">
        <v>93</v>
      </c>
      <c r="O25" s="49" t="s">
        <v>94</v>
      </c>
      <c r="P25" s="50" t="s">
        <v>95</v>
      </c>
    </row>
    <row r="26" spans="1:16" ht="12.75" customHeight="1" thickBot="1" x14ac:dyDescent="0.25">
      <c r="A26" s="10" t="str">
        <f t="shared" si="0"/>
        <v>BAVM 132 </v>
      </c>
      <c r="B26" s="3" t="str">
        <f t="shared" si="1"/>
        <v>I</v>
      </c>
      <c r="C26" s="10">
        <f t="shared" si="2"/>
        <v>51435.483200000002</v>
      </c>
      <c r="D26" s="12" t="str">
        <f t="shared" si="3"/>
        <v>vis</v>
      </c>
      <c r="E26" s="46">
        <f>VLOOKUP(C26,Active!C$21:E$973,3,FALSE)</f>
        <v>4.0113923502389472E-4</v>
      </c>
      <c r="F26" s="3" t="s">
        <v>66</v>
      </c>
      <c r="G26" s="12" t="str">
        <f t="shared" si="4"/>
        <v>51435.4832</v>
      </c>
      <c r="H26" s="10">
        <f t="shared" si="5"/>
        <v>-712</v>
      </c>
      <c r="I26" s="47" t="s">
        <v>96</v>
      </c>
      <c r="J26" s="48" t="s">
        <v>97</v>
      </c>
      <c r="K26" s="47">
        <v>-712</v>
      </c>
      <c r="L26" s="47" t="s">
        <v>98</v>
      </c>
      <c r="M26" s="48" t="s">
        <v>71</v>
      </c>
      <c r="N26" s="48" t="s">
        <v>72</v>
      </c>
      <c r="O26" s="49" t="s">
        <v>94</v>
      </c>
      <c r="P26" s="50" t="s">
        <v>95</v>
      </c>
    </row>
    <row r="27" spans="1:16" x14ac:dyDescent="0.2">
      <c r="B27" s="3"/>
      <c r="E27" s="46"/>
      <c r="F27" s="3"/>
    </row>
    <row r="28" spans="1:16" x14ac:dyDescent="0.2">
      <c r="B28" s="3"/>
      <c r="E28" s="46"/>
      <c r="F28" s="3"/>
    </row>
    <row r="29" spans="1:16" x14ac:dyDescent="0.2">
      <c r="B29" s="3"/>
      <c r="E29" s="46"/>
      <c r="F29" s="3"/>
    </row>
    <row r="30" spans="1:16" x14ac:dyDescent="0.2">
      <c r="B30" s="3"/>
      <c r="E30" s="46"/>
      <c r="F30" s="3"/>
    </row>
    <row r="31" spans="1:16" x14ac:dyDescent="0.2">
      <c r="B31" s="3"/>
      <c r="E31" s="46"/>
      <c r="F31" s="3"/>
    </row>
    <row r="32" spans="1:1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</sheetData>
  <phoneticPr fontId="8" type="noConversion"/>
  <hyperlinks>
    <hyperlink ref="P11" r:id="rId1" display="http://www.bav-astro.de/sfs/BAVM_link.php?BAVMnr=64" xr:uid="{00000000-0004-0000-0200-000000000000}"/>
    <hyperlink ref="P12" r:id="rId2" display="http://www.bav-astro.de/sfs/BAVM_link.php?BAVMnr=64" xr:uid="{00000000-0004-0000-0200-000001000000}"/>
    <hyperlink ref="P13" r:id="rId3" display="http://www.bav-astro.de/sfs/BAVM_link.php?BAVMnr=64" xr:uid="{00000000-0004-0000-0200-000002000000}"/>
    <hyperlink ref="P14" r:id="rId4" display="http://www.bav-astro.de/sfs/BAVM_link.php?BAVMnr=64" xr:uid="{00000000-0004-0000-0200-000003000000}"/>
    <hyperlink ref="P15" r:id="rId5" display="http://www.bav-astro.de/sfs/BAVM_link.php?BAVMnr=64" xr:uid="{00000000-0004-0000-0200-000004000000}"/>
    <hyperlink ref="P16" r:id="rId6" display="http://www.bav-astro.de/sfs/BAVM_link.php?BAVMnr=64" xr:uid="{00000000-0004-0000-0200-000005000000}"/>
    <hyperlink ref="P25" r:id="rId7" display="http://www.bav-astro.de/sfs/BAVM_link.php?BAVMnr=132" xr:uid="{00000000-0004-0000-0200-000006000000}"/>
    <hyperlink ref="P26" r:id="rId8" display="http://www.bav-astro.de/sfs/BAVM_link.php?BAVMnr=132" xr:uid="{00000000-0004-0000-0200-000007000000}"/>
    <hyperlink ref="P17" r:id="rId9" display="http://www.bav-astro.de/sfs/BAVM_link.php?BAVMnr=152" xr:uid="{00000000-0004-0000-0200-000008000000}"/>
    <hyperlink ref="P18" r:id="rId10" display="http://www.bav-astro.de/sfs/BAVM_link.php?BAVMnr=152" xr:uid="{00000000-0004-0000-0200-000009000000}"/>
    <hyperlink ref="P19" r:id="rId11" display="http://www.bav-astro.de/sfs/BAVM_link.php?BAVMnr=152" xr:uid="{00000000-0004-0000-0200-00000A000000}"/>
    <hyperlink ref="P20" r:id="rId12" display="http://www.konkoly.hu/cgi-bin/IBVS?5997" xr:uid="{00000000-0004-0000-0200-00000B000000}"/>
    <hyperlink ref="P21" r:id="rId13" display="http://www.konkoly.hu/cgi-bin/IBVS?6007" xr:uid="{00000000-0004-0000-0200-00000C000000}"/>
    <hyperlink ref="P22" r:id="rId14" display="http://var.astro.cz/oejv/issues/oejv0160.pdf" xr:uid="{00000000-0004-0000-0200-00000D000000}"/>
    <hyperlink ref="P23" r:id="rId15" display="http://www.konkoly.hu/cgi-bin/IBVS?6114" xr:uid="{00000000-0004-0000-0200-00000E000000}"/>
    <hyperlink ref="P24" r:id="rId16" display="http://www.bav-astro.de/sfs/BAVM_link.php?BAVMnr=239" xr:uid="{00000000-0004-0000-02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2024-01-23T04:15:34Z</dcterms:modified>
</cp:coreProperties>
</file>