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DEA686E-9921-41E9-BCA6-DF6491DCBD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34" i="1" l="1"/>
  <c r="F34" i="1" s="1"/>
  <c r="G34" i="1" s="1"/>
  <c r="Q34" i="1"/>
  <c r="Q29" i="1"/>
  <c r="Q30" i="1"/>
  <c r="Q31" i="1"/>
  <c r="Q21" i="1"/>
  <c r="C13" i="1"/>
  <c r="D14" i="1"/>
  <c r="D13" i="1"/>
  <c r="C14" i="1"/>
  <c r="C17" i="1"/>
  <c r="F12" i="1"/>
  <c r="F13" i="1" s="1"/>
  <c r="Q32" i="1"/>
  <c r="Q33" i="1"/>
  <c r="Q27" i="1"/>
  <c r="Q28" i="1"/>
  <c r="Q23" i="1"/>
  <c r="Q26" i="1"/>
  <c r="Q25" i="1"/>
  <c r="Q24" i="1"/>
  <c r="Q22" i="1"/>
  <c r="C7" i="1"/>
  <c r="E29" i="1"/>
  <c r="F29" i="1"/>
  <c r="C8" i="1"/>
  <c r="E21" i="1"/>
  <c r="F21" i="1"/>
  <c r="E25" i="1"/>
  <c r="F25" i="1"/>
  <c r="G25" i="1"/>
  <c r="E32" i="1"/>
  <c r="F32" i="1"/>
  <c r="E23" i="1"/>
  <c r="F23" i="1"/>
  <c r="G23" i="1"/>
  <c r="E30" i="1"/>
  <c r="F30" i="1"/>
  <c r="G30" i="1"/>
  <c r="E28" i="1"/>
  <c r="F28" i="1"/>
  <c r="G28" i="1"/>
  <c r="E27" i="1"/>
  <c r="F27" i="1"/>
  <c r="G32" i="1"/>
  <c r="G29" i="1"/>
  <c r="E22" i="1"/>
  <c r="F22" i="1"/>
  <c r="G22" i="1"/>
  <c r="E26" i="1"/>
  <c r="F26" i="1"/>
  <c r="E31" i="1"/>
  <c r="F31" i="1"/>
  <c r="G31" i="1"/>
  <c r="T26" i="1"/>
  <c r="G27" i="1"/>
  <c r="E33" i="1"/>
  <c r="F33" i="1"/>
  <c r="G33" i="1"/>
  <c r="E24" i="1"/>
  <c r="F24" i="1"/>
  <c r="G24" i="1"/>
  <c r="I24" i="1"/>
  <c r="R24" i="1"/>
  <c r="I28" i="1"/>
  <c r="R28" i="1"/>
  <c r="R31" i="1"/>
  <c r="I31" i="1"/>
  <c r="I23" i="1"/>
  <c r="S23" i="1"/>
  <c r="R33" i="1"/>
  <c r="I33" i="1"/>
  <c r="S30" i="1"/>
  <c r="I30" i="1"/>
  <c r="S22" i="1"/>
  <c r="I22" i="1"/>
  <c r="I25" i="1"/>
  <c r="S25" i="1"/>
  <c r="I29" i="1"/>
  <c r="R29" i="1"/>
  <c r="G21" i="1"/>
  <c r="I27" i="1"/>
  <c r="S27" i="1"/>
  <c r="I32" i="1"/>
  <c r="S32" i="1"/>
  <c r="S19" i="1"/>
  <c r="E19" i="1" s="1"/>
  <c r="G11" i="1" s="1"/>
  <c r="H21" i="1"/>
  <c r="R21" i="1"/>
  <c r="D12" i="1"/>
  <c r="D11" i="1"/>
  <c r="P34" i="1" l="1"/>
  <c r="I34" i="1"/>
  <c r="R34" i="1"/>
  <c r="D16" i="1"/>
  <c r="D19" i="1" s="1"/>
  <c r="P22" i="1"/>
  <c r="P29" i="1"/>
  <c r="P33" i="1"/>
  <c r="P31" i="1"/>
  <c r="P30" i="1"/>
  <c r="P27" i="1"/>
  <c r="P23" i="1"/>
  <c r="P28" i="1"/>
  <c r="P24" i="1"/>
  <c r="D15" i="1"/>
  <c r="C19" i="1" s="1"/>
  <c r="P26" i="1"/>
  <c r="P21" i="1"/>
  <c r="P25" i="1"/>
  <c r="P32" i="1"/>
  <c r="C11" i="1"/>
  <c r="C12" i="1"/>
  <c r="C16" i="1" l="1"/>
  <c r="D18" i="1" s="1"/>
  <c r="O34" i="1"/>
  <c r="O27" i="1"/>
  <c r="O26" i="1"/>
  <c r="O31" i="1"/>
  <c r="O24" i="1"/>
  <c r="O30" i="1"/>
  <c r="O21" i="1"/>
  <c r="O22" i="1"/>
  <c r="O25" i="1"/>
  <c r="O29" i="1"/>
  <c r="C15" i="1"/>
  <c r="O23" i="1"/>
  <c r="O32" i="1"/>
  <c r="O33" i="1"/>
  <c r="O28" i="1"/>
  <c r="R19" i="1"/>
  <c r="E18" i="1" s="1"/>
  <c r="F14" i="1" l="1"/>
  <c r="F15" i="1" s="1"/>
  <c r="C18" i="1"/>
</calcChain>
</file>

<file path=xl/sharedStrings.xml><?xml version="1.0" encoding="utf-8"?>
<sst xmlns="http://schemas.openxmlformats.org/spreadsheetml/2006/main" count="75" uniqueCount="57">
  <si>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</si>
  <si>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</si>
  <si>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</si>
  <si>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</si>
  <si>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</si>
  <si>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</si>
  <si>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</si>
  <si>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</si>
  <si>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</si>
  <si>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</si>
  <si>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</si>
  <si>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</si>
  <si>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</si>
  <si>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</si>
  <si>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</si>
  <si>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</si>
  <si>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</si>
  <si>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</si>
  <si>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System Type:</t>
  </si>
  <si>
    <t>S4</t>
  </si>
  <si>
    <t>S5</t>
  </si>
  <si>
    <t>S6</t>
  </si>
  <si>
    <t>Misc</t>
  </si>
  <si>
    <t>IBVS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</si>
  <si>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</si>
  <si>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</si>
  <si>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</si>
  <si>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</si>
  <si>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</si>
  <si>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</si>
  <si>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V0734 Cep / GSC 4492-0986</t>
  </si>
  <si>
    <t>EA</t>
  </si>
  <si>
    <t>II</t>
  </si>
  <si>
    <t>IBVS 5781</t>
  </si>
  <si>
    <t>GCVS</t>
  </si>
  <si>
    <t>IBVS 5871</t>
  </si>
  <si>
    <t>I</t>
  </si>
  <si>
    <t>IBVS 5960</t>
  </si>
  <si>
    <t>Add cycle</t>
  </si>
  <si>
    <t>Old Cycle</t>
  </si>
  <si>
    <t>IBVS 6011</t>
  </si>
  <si>
    <t>IBVS 6042</t>
  </si>
  <si>
    <t>Start of Lin fit (row)</t>
  </si>
  <si>
    <t>Primary</t>
  </si>
  <si>
    <t>Secondary</t>
  </si>
  <si>
    <t>Start cell (x)</t>
  </si>
  <si>
    <t>Start cell (y)</t>
  </si>
  <si>
    <t># of data points =</t>
  </si>
  <si>
    <t>Prim. Ephem. =</t>
  </si>
  <si>
    <t>Sec. Ephem. =</t>
  </si>
  <si>
    <t>Prim. Fit</t>
  </si>
  <si>
    <t>Sec. Fit</t>
  </si>
  <si>
    <t>BAD?</t>
  </si>
  <si>
    <t>OEJV 0160</t>
  </si>
  <si>
    <t>IBVS 6070</t>
  </si>
  <si>
    <t>JBAV, 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</si>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</sst>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10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V0734 Cep - O-C Diagr.</a:t>
            </a:r>
          </a:p>
        </c:rich>
      </c:tx>
      <c:layout>
        <c:manualLayout>
          <c:xMode val="edge"/>
          <c:yMode val="edge"/>
          <c:x val="0.36755999250093735"/>
          <c:y val="3.459119496855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8827905313989"/>
          <c:y val="0.15094385976765112"/>
          <c:w val="0.83184644694947296"/>
          <c:h val="0.6194987577964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D-460A-82CA-CBAF4C89852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0.16905000000406289</c:v>
                </c:pt>
                <c:pt idx="2">
                  <c:v>0.16905000000406289</c:v>
                </c:pt>
                <c:pt idx="3">
                  <c:v>6.4500000007683411E-2</c:v>
                </c:pt>
                <c:pt idx="4">
                  <c:v>0.17925000000104774</c:v>
                </c:pt>
                <c:pt idx="6">
                  <c:v>0.19365000000107102</c:v>
                </c:pt>
                <c:pt idx="7">
                  <c:v>8.5500000001047738E-2</c:v>
                </c:pt>
                <c:pt idx="8">
                  <c:v>8.3000000005995389E-2</c:v>
                </c:pt>
                <c:pt idx="9">
                  <c:v>0.19511000000056811</c:v>
                </c:pt>
                <c:pt idx="10">
                  <c:v>9.4100000002072193E-2</c:v>
                </c:pt>
                <c:pt idx="11">
                  <c:v>0.19945000000734581</c:v>
                </c:pt>
                <c:pt idx="12">
                  <c:v>9.0000000003783498E-2</c:v>
                </c:pt>
                <c:pt idx="13">
                  <c:v>0.14140000000043074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3D-460A-82CA-CBAF4C89852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3D-460A-82CA-CBAF4C89852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3D-460A-82CA-CBAF4C89852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3D-460A-82CA-CBAF4C89852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3D-460A-82CA-CBAF4C89852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3D-460A-82CA-CBAF4C89852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2.2708102192747354E-3</c:v>
                </c:pt>
                <c:pt idx="1">
                  <c:v>4.7885195807308011E-2</c:v>
                </c:pt>
                <c:pt idx="2">
                  <c:v>4.7885195807308011E-2</c:v>
                </c:pt>
                <c:pt idx="3">
                  <c:v>6.3347105141914217E-2</c:v>
                </c:pt>
                <c:pt idx="4">
                  <c:v>6.3732776349806897E-2</c:v>
                </c:pt>
                <c:pt idx="5">
                  <c:v>7.6635231304761728E-2</c:v>
                </c:pt>
                <c:pt idx="6">
                  <c:v>8.3507191009031145E-2</c:v>
                </c:pt>
                <c:pt idx="7">
                  <c:v>8.368249610352782E-2</c:v>
                </c:pt>
                <c:pt idx="8">
                  <c:v>8.4103228330319829E-2</c:v>
                </c:pt>
                <c:pt idx="9">
                  <c:v>8.6522438634373852E-2</c:v>
                </c:pt>
                <c:pt idx="10">
                  <c:v>8.950262524081723E-2</c:v>
                </c:pt>
                <c:pt idx="11">
                  <c:v>9.0379150713300577E-2</c:v>
                </c:pt>
                <c:pt idx="12">
                  <c:v>9.1255676185783924E-2</c:v>
                </c:pt>
                <c:pt idx="13">
                  <c:v>0.14433805879937528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3D-460A-82CA-CBAF4C89852B}"/>
            </c:ext>
          </c:extLst>
        </c:ser>
        <c:ser>
          <c:idx val="8"/>
          <c:order val="8"/>
          <c:tx>
            <c:strRef>
              <c:f>'Active 1'!$T$20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1'!$T$21:$T$999</c:f>
              <c:numCache>
                <c:formatCode>General</c:formatCode>
                <c:ptCount val="979"/>
                <c:pt idx="5">
                  <c:v>0.34405000000697328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3D-460A-82CA-CBAF4C89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221888"/>
        <c:axId val="1"/>
      </c:scatterChart>
      <c:valAx>
        <c:axId val="839221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1030496187975"/>
              <c:y val="0.83333597451261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07142857142856E-2"/>
              <c:y val="0.36478086465606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221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601221722284714"/>
          <c:y val="0.9182419650373892"/>
          <c:w val="0.7604177602799649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V0734 Cep - Primary O-C Diagr.</a:t>
            </a:r>
          </a:p>
        </c:rich>
      </c:tx>
      <c:layout>
        <c:manualLayout>
          <c:xMode val="edge"/>
          <c:yMode val="edge"/>
          <c:x val="0.32041728763040239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7660208643816"/>
          <c:y val="0.15141955835962145"/>
          <c:w val="0.83159463487332341"/>
          <c:h val="0.6182965299684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  <c:pt idx="0">
                  <c:v>0</c:v>
                </c:pt>
                <c:pt idx="3">
                  <c:v>6.4500000007683411E-2</c:v>
                </c:pt>
                <c:pt idx="7">
                  <c:v>8.5500000001047738E-2</c:v>
                </c:pt>
                <c:pt idx="8">
                  <c:v>8.3000000005995389E-2</c:v>
                </c:pt>
                <c:pt idx="10">
                  <c:v>9.4100000002072193E-2</c:v>
                </c:pt>
                <c:pt idx="12">
                  <c:v>9.0000000003783498E-2</c:v>
                </c:pt>
                <c:pt idx="13">
                  <c:v>0.14140000000043074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8-41FF-9D62-23C8DB0EF7BB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2.2708102192747354E-3</c:v>
                </c:pt>
                <c:pt idx="1">
                  <c:v>4.7885195807308011E-2</c:v>
                </c:pt>
                <c:pt idx="2">
                  <c:v>4.7885195807308011E-2</c:v>
                </c:pt>
                <c:pt idx="3">
                  <c:v>6.3347105141914217E-2</c:v>
                </c:pt>
                <c:pt idx="4">
                  <c:v>6.3732776349806897E-2</c:v>
                </c:pt>
                <c:pt idx="5">
                  <c:v>7.6635231304761728E-2</c:v>
                </c:pt>
                <c:pt idx="6">
                  <c:v>8.3507191009031145E-2</c:v>
                </c:pt>
                <c:pt idx="7">
                  <c:v>8.368249610352782E-2</c:v>
                </c:pt>
                <c:pt idx="8">
                  <c:v>8.4103228330319829E-2</c:v>
                </c:pt>
                <c:pt idx="9">
                  <c:v>8.6522438634373852E-2</c:v>
                </c:pt>
                <c:pt idx="10">
                  <c:v>8.950262524081723E-2</c:v>
                </c:pt>
                <c:pt idx="11">
                  <c:v>9.0379150713300577E-2</c:v>
                </c:pt>
                <c:pt idx="12">
                  <c:v>9.1255676185783924E-2</c:v>
                </c:pt>
                <c:pt idx="13">
                  <c:v>0.14433805879937528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B8-41FF-9D62-23C8DB0EF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221560"/>
        <c:axId val="1"/>
      </c:scatterChart>
      <c:valAx>
        <c:axId val="83922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16393442626"/>
              <c:y val="0.83280757097791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365930599369085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221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03576751117736"/>
          <c:y val="0.917981072555205"/>
          <c:w val="0.2175856929955291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V0734 Cep - Secondary O-C Diagr.</a:t>
            </a:r>
          </a:p>
        </c:rich>
      </c:tx>
      <c:layout>
        <c:manualLayout>
          <c:xMode val="edge"/>
          <c:yMode val="edge"/>
          <c:x val="0.30208380202474688"/>
          <c:y val="3.459119496855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8827905313989"/>
          <c:y val="0.15094385976765112"/>
          <c:w val="0.83184644694947296"/>
          <c:h val="0.6194987577964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1.5E-3</c:v>
                  </c:pt>
                  <c:pt idx="6">
                    <c:v>2.0999999999999999E-3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3.0000000000000003E-4</c:v>
                  </c:pt>
                  <c:pt idx="1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1'!$S$21:$S$999</c:f>
              <c:numCache>
                <c:formatCode>General</c:formatCode>
                <c:ptCount val="979"/>
                <c:pt idx="1">
                  <c:v>0.16905000000406289</c:v>
                </c:pt>
                <c:pt idx="2">
                  <c:v>0.16905000000406289</c:v>
                </c:pt>
                <c:pt idx="4">
                  <c:v>0.17925000000104774</c:v>
                </c:pt>
                <c:pt idx="6">
                  <c:v>0.19365000000107102</c:v>
                </c:pt>
                <c:pt idx="9">
                  <c:v>0.19511000000056811</c:v>
                </c:pt>
                <c:pt idx="11">
                  <c:v>0.19945000000734581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33-4689-843F-D1F84266FE89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650.5</c:v>
                </c:pt>
                <c:pt idx="2">
                  <c:v>650.5</c:v>
                </c:pt>
                <c:pt idx="3">
                  <c:v>871</c:v>
                </c:pt>
                <c:pt idx="4">
                  <c:v>876.5</c:v>
                </c:pt>
                <c:pt idx="5">
                  <c:v>1060.5</c:v>
                </c:pt>
                <c:pt idx="6">
                  <c:v>1158.5</c:v>
                </c:pt>
                <c:pt idx="7">
                  <c:v>1161</c:v>
                </c:pt>
                <c:pt idx="8">
                  <c:v>1167</c:v>
                </c:pt>
                <c:pt idx="9">
                  <c:v>1201.5</c:v>
                </c:pt>
                <c:pt idx="10">
                  <c:v>1244</c:v>
                </c:pt>
                <c:pt idx="11">
                  <c:v>1256.5</c:v>
                </c:pt>
                <c:pt idx="12">
                  <c:v>1269</c:v>
                </c:pt>
                <c:pt idx="13">
                  <c:v>2026</c:v>
                </c:pt>
              </c:numCache>
            </c:numRef>
          </c:xVal>
          <c:yVal>
            <c:numRef>
              <c:f>'Active 1'!$P$21:$P$999</c:f>
              <c:numCache>
                <c:formatCode>General</c:formatCode>
                <c:ptCount val="979"/>
                <c:pt idx="0">
                  <c:v>0.13692848906653363</c:v>
                </c:pt>
                <c:pt idx="1">
                  <c:v>0.16881231495281795</c:v>
                </c:pt>
                <c:pt idx="2">
                  <c:v>0.16881231495281795</c:v>
                </c:pt>
                <c:pt idx="3">
                  <c:v>0.17961997614870681</c:v>
                </c:pt>
                <c:pt idx="4">
                  <c:v>0.1798895549993979</c:v>
                </c:pt>
                <c:pt idx="5">
                  <c:v>0.18890819291342761</c:v>
                </c:pt>
                <c:pt idx="6">
                  <c:v>0.1937115978893782</c:v>
                </c:pt>
                <c:pt idx="7">
                  <c:v>0.19383413373060143</c:v>
                </c:pt>
                <c:pt idx="8">
                  <c:v>0.19412821974953717</c:v>
                </c:pt>
                <c:pt idx="9">
                  <c:v>0.19581921435841776</c:v>
                </c:pt>
                <c:pt idx="10">
                  <c:v>0.19790232365921265</c:v>
                </c:pt>
                <c:pt idx="11">
                  <c:v>0.1985150028653288</c:v>
                </c:pt>
                <c:pt idx="12">
                  <c:v>0.19912768207144493</c:v>
                </c:pt>
                <c:pt idx="13">
                  <c:v>0.23623153479383885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33-4689-843F-D1F84266F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219592"/>
        <c:axId val="1"/>
      </c:scatterChart>
      <c:valAx>
        <c:axId val="839219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1030496187975"/>
              <c:y val="0.83333597451261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07142857142856E-2"/>
              <c:y val="0.36478086465606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219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49411011123609"/>
          <c:y val="0.9182419650373892"/>
          <c:w val="0.2410717410323708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0</xdr:row>
      <xdr:rowOff>19050</xdr:rowOff>
    </xdr:from>
    <xdr:to>
      <xdr:col>19</xdr:col>
      <xdr:colOff>647699</xdr:colOff>
      <xdr:row>18</xdr:row>
      <xdr:rowOff>171450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BC63310E-CB38-EF94-BAB3-21363B89A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13</xdr:col>
      <xdr:colOff>600075</xdr:colOff>
      <xdr:row>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C30C61-9CC8-A45F-03CB-7BDC99C596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123824</xdr:rowOff>
    </xdr:from>
    <xdr:to>
      <xdr:col>13</xdr:col>
      <xdr:colOff>552450</xdr:colOff>
      <xdr:row>44</xdr:row>
      <xdr:rowOff>76199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06C8E4F-A706-155D-87FE-3958243B22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30</v>
      </c>
    </row>
    <row r="2" spans="1:7" x14ac:dyDescent="0.2">
      <c r="A2" t="s">
        <v>18</v>
      </c>
      <c r="B2" t="s">
        <v>31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51482.646999999997</v>
      </c>
      <c r="D4" s="9">
        <v>3.7658999999999998</v>
      </c>
    </row>
    <row r="5" spans="1:7" ht="13.5" thickTop="1" x14ac:dyDescent="0.2">
      <c r="A5" s="11" t="s">
        <v>24</v>
      </c>
      <c r="B5" s="12"/>
      <c r="C5" s="13">
        <v>-9.5</v>
      </c>
      <c r="D5" s="12" t="s">
        <v>25</v>
      </c>
      <c r="E5" s="12"/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51482.646999999997</v>
      </c>
    </row>
    <row r="8" spans="1:7" x14ac:dyDescent="0.2">
      <c r="A8" t="s">
        <v>3</v>
      </c>
      <c r="C8">
        <f>+D4</f>
        <v>3.7658999999999998</v>
      </c>
    </row>
    <row r="9" spans="1:7" x14ac:dyDescent="0.2">
      <c r="A9" s="16" t="s">
        <v>42</v>
      </c>
      <c r="B9" s="16"/>
      <c r="C9" s="33">
        <v>21</v>
      </c>
      <c r="D9" s="33">
        <v>21</v>
      </c>
    </row>
    <row r="10" spans="1:7" ht="13.5" thickBot="1" x14ac:dyDescent="0.25">
      <c r="A10" s="12"/>
      <c r="B10" s="12"/>
      <c r="C10" s="4" t="s">
        <v>43</v>
      </c>
      <c r="D10" s="4" t="s">
        <v>44</v>
      </c>
    </row>
    <row r="11" spans="1:7" x14ac:dyDescent="0.2">
      <c r="A11" s="12" t="s">
        <v>15</v>
      </c>
      <c r="B11" s="12"/>
      <c r="C11" s="22">
        <f ca="1">INTERCEPT(INDIRECT(C14):R$935,INDIRECT(C13):$F$935)</f>
        <v>2.2708102192747354E-3</v>
      </c>
      <c r="D11" s="22">
        <f ca="1">INTERCEPT(INDIRECT(D14):S$935,INDIRECT(D13):$F$935)</f>
        <v>0.13692848906653363</v>
      </c>
      <c r="E11" s="16" t="s">
        <v>38</v>
      </c>
      <c r="F11">
        <v>1</v>
      </c>
      <c r="G11" s="23" t="str">
        <f>"G"&amp;E19</f>
        <v>G6</v>
      </c>
    </row>
    <row r="12" spans="1:7" x14ac:dyDescent="0.2">
      <c r="A12" s="12" t="s">
        <v>16</v>
      </c>
      <c r="B12" s="12"/>
      <c r="C12" s="22">
        <f ca="1">SLOPE(INDIRECT(C14):R$935,INDIRECT(C13):$F$935)</f>
        <v>7.0122037798667601E-5</v>
      </c>
      <c r="D12" s="22">
        <f ca="1">SLOPE(INDIRECT(D14):S$935,INDIRECT(D13):$F$935)</f>
        <v>4.9014336489291822E-5</v>
      </c>
      <c r="E12" s="16" t="s">
        <v>26</v>
      </c>
      <c r="F12" s="17">
        <f ca="1">NOW()+15018.5+$C$5/24</f>
        <v>60332.734355555556</v>
      </c>
    </row>
    <row r="13" spans="1:7" x14ac:dyDescent="0.2">
      <c r="A13" s="16" t="s">
        <v>45</v>
      </c>
      <c r="B13" s="16"/>
      <c r="C13" s="33" t="str">
        <f>"F"&amp;C9</f>
        <v>F21</v>
      </c>
      <c r="D13" s="33" t="str">
        <f>"F"&amp;D9</f>
        <v>F21</v>
      </c>
      <c r="E13" s="16" t="s">
        <v>39</v>
      </c>
      <c r="F13" s="17">
        <f ca="1">ROUND(2*(F12-$C$7)/$C$8,0)/2+F11</f>
        <v>2351</v>
      </c>
    </row>
    <row r="14" spans="1:7" x14ac:dyDescent="0.2">
      <c r="A14" s="16" t="s">
        <v>46</v>
      </c>
      <c r="B14" s="16"/>
      <c r="C14" s="33" t="str">
        <f>"R"&amp;C9</f>
        <v>R21</v>
      </c>
      <c r="D14" s="33" t="str">
        <f>"S"&amp;D9</f>
        <v>S21</v>
      </c>
      <c r="E14" s="16" t="s">
        <v>27</v>
      </c>
      <c r="F14" s="23">
        <f ca="1">ROUND(2*(F12-$C$15)/$C$16,0)/2+F11</f>
        <v>325</v>
      </c>
    </row>
    <row r="15" spans="1:7" x14ac:dyDescent="0.2">
      <c r="A15" s="14" t="s">
        <v>17</v>
      </c>
      <c r="B15" s="12"/>
      <c r="C15" s="15">
        <f ca="1">($C7+C11)+($C8+C12)*INT(MAX($F21:$F3533))</f>
        <v>59112.504738058793</v>
      </c>
      <c r="D15" s="15">
        <f ca="1">($C7+D11)+($C8+D12)*INT(MAX($F21:$F3533))</f>
        <v>59112.596631534791</v>
      </c>
      <c r="E15" s="16" t="s">
        <v>28</v>
      </c>
      <c r="F15" s="20">
        <f ca="1">+$C$15+$C$16*F14-15018.5-$C$5/24</f>
        <v>45318.340861054414</v>
      </c>
    </row>
    <row r="16" spans="1:7" x14ac:dyDescent="0.2">
      <c r="A16" s="18" t="s">
        <v>4</v>
      </c>
      <c r="B16" s="12"/>
      <c r="C16" s="19">
        <f ca="1">+$C8+C12</f>
        <v>3.7659701220377984</v>
      </c>
      <c r="D16" s="22">
        <f ca="1">+$C8+D12</f>
        <v>3.7659490143364889</v>
      </c>
      <c r="E16" s="21"/>
      <c r="F16" s="21" t="s">
        <v>29</v>
      </c>
    </row>
    <row r="17" spans="1:20" ht="13.5" thickBot="1" x14ac:dyDescent="0.25">
      <c r="A17" s="34" t="s">
        <v>47</v>
      </c>
      <c r="C17">
        <f>COUNT(C21:C1247)</f>
        <v>14</v>
      </c>
    </row>
    <row r="18" spans="1:20" ht="14.25" thickTop="1" thickBot="1" x14ac:dyDescent="0.25">
      <c r="A18" s="5" t="s">
        <v>48</v>
      </c>
      <c r="C18" s="35">
        <f ca="1">+C15</f>
        <v>59112.504738058793</v>
      </c>
      <c r="D18" s="36">
        <f ca="1">+C16</f>
        <v>3.7659701220377984</v>
      </c>
      <c r="E18" s="37">
        <f>R19</f>
        <v>7</v>
      </c>
    </row>
    <row r="19" spans="1:20" ht="14.25" thickTop="1" thickBot="1" x14ac:dyDescent="0.25">
      <c r="A19" s="5" t="s">
        <v>49</v>
      </c>
      <c r="C19" s="35">
        <f ca="1">+D15</f>
        <v>59112.596631534791</v>
      </c>
      <c r="D19" s="36">
        <f ca="1">+D16</f>
        <v>3.7659490143364889</v>
      </c>
      <c r="E19" s="37">
        <f>S19</f>
        <v>6</v>
      </c>
      <c r="R19">
        <f>COUNT(R21:R322)</f>
        <v>7</v>
      </c>
      <c r="S19">
        <f>COUNT(S21:S322)</f>
        <v>6</v>
      </c>
    </row>
    <row r="20" spans="1:20" ht="14.25" thickTop="1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34</v>
      </c>
      <c r="I20" s="7" t="s">
        <v>23</v>
      </c>
      <c r="J20" s="7" t="s">
        <v>56</v>
      </c>
      <c r="K20" s="7" t="s">
        <v>19</v>
      </c>
      <c r="L20" s="7" t="s">
        <v>20</v>
      </c>
      <c r="M20" s="7" t="s">
        <v>21</v>
      </c>
      <c r="N20" s="7" t="s">
        <v>22</v>
      </c>
      <c r="O20" s="7" t="s">
        <v>50</v>
      </c>
      <c r="P20" s="6" t="s">
        <v>51</v>
      </c>
      <c r="Q20" s="4" t="s">
        <v>14</v>
      </c>
      <c r="R20" s="6" t="s">
        <v>43</v>
      </c>
      <c r="S20" s="6" t="s">
        <v>44</v>
      </c>
      <c r="T20" s="38" t="s">
        <v>52</v>
      </c>
    </row>
    <row r="21" spans="1:20" x14ac:dyDescent="0.2">
      <c r="A21" t="s">
        <v>11</v>
      </c>
      <c r="C21" s="10">
        <v>51482.646999999997</v>
      </c>
      <c r="D21" s="10" t="s">
        <v>13</v>
      </c>
      <c r="E21">
        <f t="shared" ref="E21:E33" si="0">+(C21-C$7)/C$8</f>
        <v>0</v>
      </c>
      <c r="F21">
        <f t="shared" ref="F21:F33" si="1">ROUND(2*E21,0)/2</f>
        <v>0</v>
      </c>
      <c r="G21">
        <f>+C21-(C$7+F21*C$8)</f>
        <v>0</v>
      </c>
      <c r="H21">
        <f>+G21</f>
        <v>0</v>
      </c>
      <c r="O21">
        <f t="shared" ref="O21:O33" ca="1" si="2">+C$11+C$12*$F21</f>
        <v>2.2708102192747354E-3</v>
      </c>
      <c r="P21">
        <f t="shared" ref="P21:P33" ca="1" si="3">+D$11+D$12*$F21</f>
        <v>0.13692848906653363</v>
      </c>
      <c r="Q21" s="2">
        <f t="shared" ref="Q21:Q33" si="4">+C21-15018.5</f>
        <v>36464.146999999997</v>
      </c>
      <c r="R21">
        <f>G21</f>
        <v>0</v>
      </c>
    </row>
    <row r="22" spans="1:20" x14ac:dyDescent="0.2">
      <c r="A22" s="27" t="s">
        <v>33</v>
      </c>
      <c r="B22" s="28" t="s">
        <v>32</v>
      </c>
      <c r="C22" s="29">
        <v>53932.534</v>
      </c>
      <c r="D22" s="29">
        <v>5.0000000000000001E-3</v>
      </c>
      <c r="E22">
        <f t="shared" si="0"/>
        <v>650.54488966780923</v>
      </c>
      <c r="F22">
        <f t="shared" si="1"/>
        <v>650.5</v>
      </c>
      <c r="G22">
        <f>+C22-(C$7+F22*C$8)</f>
        <v>0.16905000000406289</v>
      </c>
      <c r="I22">
        <f>+G22</f>
        <v>0.16905000000406289</v>
      </c>
      <c r="O22">
        <f t="shared" ca="1" si="2"/>
        <v>4.7885195807308011E-2</v>
      </c>
      <c r="P22">
        <f t="shared" ca="1" si="3"/>
        <v>0.16881231495281795</v>
      </c>
      <c r="Q22" s="2">
        <f t="shared" si="4"/>
        <v>38914.034</v>
      </c>
      <c r="S22">
        <f>G22</f>
        <v>0.16905000000406289</v>
      </c>
    </row>
    <row r="23" spans="1:20" x14ac:dyDescent="0.2">
      <c r="A23" s="30" t="s">
        <v>33</v>
      </c>
      <c r="B23" s="31" t="s">
        <v>32</v>
      </c>
      <c r="C23" s="30">
        <v>53932.534</v>
      </c>
      <c r="D23" s="30">
        <v>5.0000000000000001E-3</v>
      </c>
      <c r="E23">
        <f t="shared" si="0"/>
        <v>650.54488966780923</v>
      </c>
      <c r="F23">
        <f t="shared" si="1"/>
        <v>650.5</v>
      </c>
      <c r="G23">
        <f>+C23-(C$7+F23*C$8)</f>
        <v>0.16905000000406289</v>
      </c>
      <c r="I23">
        <f>+G23</f>
        <v>0.16905000000406289</v>
      </c>
      <c r="O23">
        <f t="shared" ca="1" si="2"/>
        <v>4.7885195807308011E-2</v>
      </c>
      <c r="P23">
        <f t="shared" ca="1" si="3"/>
        <v>0.16881231495281795</v>
      </c>
      <c r="Q23" s="2">
        <f t="shared" si="4"/>
        <v>38914.034</v>
      </c>
      <c r="S23">
        <f>G23</f>
        <v>0.16905000000406289</v>
      </c>
    </row>
    <row r="24" spans="1:20" x14ac:dyDescent="0.2">
      <c r="A24" s="29" t="s">
        <v>35</v>
      </c>
      <c r="B24" s="28" t="s">
        <v>36</v>
      </c>
      <c r="C24" s="29">
        <v>54762.810400000002</v>
      </c>
      <c r="D24" s="29">
        <v>4.0000000000000002E-4</v>
      </c>
      <c r="E24">
        <f t="shared" si="0"/>
        <v>871.01712737991056</v>
      </c>
      <c r="F24">
        <f t="shared" si="1"/>
        <v>871</v>
      </c>
      <c r="G24">
        <f>+C24-(C$7+F24*C$8)</f>
        <v>6.4500000007683411E-2</v>
      </c>
      <c r="I24">
        <f>+G24</f>
        <v>6.4500000007683411E-2</v>
      </c>
      <c r="O24">
        <f t="shared" ca="1" si="2"/>
        <v>6.3347105141914217E-2</v>
      </c>
      <c r="P24">
        <f t="shared" ca="1" si="3"/>
        <v>0.17961997614870681</v>
      </c>
      <c r="Q24" s="2">
        <f t="shared" si="4"/>
        <v>39744.310400000002</v>
      </c>
      <c r="R24">
        <f>G24</f>
        <v>6.4500000007683411E-2</v>
      </c>
    </row>
    <row r="25" spans="1:20" x14ac:dyDescent="0.2">
      <c r="A25" s="29" t="s">
        <v>35</v>
      </c>
      <c r="B25" s="28" t="s">
        <v>32</v>
      </c>
      <c r="C25" s="29">
        <v>54783.637600000002</v>
      </c>
      <c r="D25" s="29">
        <v>5.0000000000000001E-4</v>
      </c>
      <c r="E25">
        <f t="shared" si="0"/>
        <v>876.54759818370235</v>
      </c>
      <c r="F25">
        <f t="shared" si="1"/>
        <v>876.5</v>
      </c>
      <c r="G25">
        <f>+C25-(C$7+F25*C$8)</f>
        <v>0.17925000000104774</v>
      </c>
      <c r="I25">
        <f>+G25</f>
        <v>0.17925000000104774</v>
      </c>
      <c r="O25">
        <f t="shared" ca="1" si="2"/>
        <v>6.3732776349806897E-2</v>
      </c>
      <c r="P25">
        <f t="shared" ca="1" si="3"/>
        <v>0.1798895549993979</v>
      </c>
      <c r="Q25" s="2">
        <f t="shared" si="4"/>
        <v>39765.137600000002</v>
      </c>
      <c r="S25">
        <f>G25</f>
        <v>0.17925000000104774</v>
      </c>
    </row>
    <row r="26" spans="1:20" x14ac:dyDescent="0.2">
      <c r="A26" s="32" t="s">
        <v>37</v>
      </c>
      <c r="B26" s="28" t="s">
        <v>36</v>
      </c>
      <c r="C26" s="29">
        <v>55476.728000000003</v>
      </c>
      <c r="D26" s="29">
        <v>1.5E-3</v>
      </c>
      <c r="E26">
        <f t="shared" si="0"/>
        <v>1060.5913593032226</v>
      </c>
      <c r="F26">
        <f t="shared" si="1"/>
        <v>1060.5</v>
      </c>
      <c r="O26">
        <f t="shared" ca="1" si="2"/>
        <v>7.6635231304761728E-2</v>
      </c>
      <c r="P26">
        <f t="shared" ca="1" si="3"/>
        <v>0.18890819291342761</v>
      </c>
      <c r="Q26" s="2">
        <f t="shared" si="4"/>
        <v>40458.228000000003</v>
      </c>
      <c r="T26">
        <f>+C26-(C$7+F26*C$8)</f>
        <v>0.34405000000697328</v>
      </c>
    </row>
    <row r="27" spans="1:20" x14ac:dyDescent="0.2">
      <c r="A27" s="30" t="s">
        <v>40</v>
      </c>
      <c r="B27" s="31" t="s">
        <v>32</v>
      </c>
      <c r="C27" s="30">
        <v>55845.635799999996</v>
      </c>
      <c r="D27" s="30">
        <v>2.0999999999999999E-3</v>
      </c>
      <c r="E27">
        <f t="shared" si="0"/>
        <v>1158.5514219708434</v>
      </c>
      <c r="F27">
        <f t="shared" si="1"/>
        <v>1158.5</v>
      </c>
      <c r="G27">
        <f t="shared" ref="G27:G33" si="5">+C27-(C$7+F27*C$8)</f>
        <v>0.19365000000107102</v>
      </c>
      <c r="I27">
        <f t="shared" ref="I27:I33" si="6">+G27</f>
        <v>0.19365000000107102</v>
      </c>
      <c r="O27">
        <f t="shared" ca="1" si="2"/>
        <v>8.3507191009031145E-2</v>
      </c>
      <c r="P27">
        <f t="shared" ca="1" si="3"/>
        <v>0.1937115978893782</v>
      </c>
      <c r="Q27" s="2">
        <f t="shared" si="4"/>
        <v>40827.135799999996</v>
      </c>
      <c r="S27">
        <f>G27</f>
        <v>0.19365000000107102</v>
      </c>
    </row>
    <row r="28" spans="1:20" x14ac:dyDescent="0.2">
      <c r="A28" s="30" t="s">
        <v>40</v>
      </c>
      <c r="B28" s="31" t="s">
        <v>36</v>
      </c>
      <c r="C28" s="30">
        <v>55854.9424</v>
      </c>
      <c r="D28" s="30">
        <v>1E-3</v>
      </c>
      <c r="E28">
        <f t="shared" si="0"/>
        <v>1161.0227037361594</v>
      </c>
      <c r="F28">
        <f t="shared" si="1"/>
        <v>1161</v>
      </c>
      <c r="G28">
        <f t="shared" si="5"/>
        <v>8.5500000001047738E-2</v>
      </c>
      <c r="I28">
        <f t="shared" si="6"/>
        <v>8.5500000001047738E-2</v>
      </c>
      <c r="O28">
        <f t="shared" ca="1" si="2"/>
        <v>8.368249610352782E-2</v>
      </c>
      <c r="P28">
        <f t="shared" ca="1" si="3"/>
        <v>0.19383413373060143</v>
      </c>
      <c r="Q28" s="2">
        <f t="shared" si="4"/>
        <v>40836.4424</v>
      </c>
      <c r="R28">
        <f>G28</f>
        <v>8.5500000001047738E-2</v>
      </c>
    </row>
    <row r="29" spans="1:20" x14ac:dyDescent="0.2">
      <c r="A29" s="24" t="s">
        <v>53</v>
      </c>
      <c r="B29" s="25" t="s">
        <v>36</v>
      </c>
      <c r="C29" s="26">
        <v>55877.535300000003</v>
      </c>
      <c r="D29" s="26">
        <v>1E-4</v>
      </c>
      <c r="E29">
        <f t="shared" si="0"/>
        <v>1167.0220398842259</v>
      </c>
      <c r="F29">
        <f t="shared" si="1"/>
        <v>1167</v>
      </c>
      <c r="G29">
        <f t="shared" si="5"/>
        <v>8.3000000005995389E-2</v>
      </c>
      <c r="I29">
        <f t="shared" si="6"/>
        <v>8.3000000005995389E-2</v>
      </c>
      <c r="O29">
        <f t="shared" ca="1" si="2"/>
        <v>8.4103228330319829E-2</v>
      </c>
      <c r="P29">
        <f t="shared" ca="1" si="3"/>
        <v>0.19412821974953717</v>
      </c>
      <c r="Q29" s="2">
        <f t="shared" si="4"/>
        <v>40859.035300000003</v>
      </c>
      <c r="R29">
        <f>G29</f>
        <v>8.3000000005995389E-2</v>
      </c>
    </row>
    <row r="30" spans="1:20" x14ac:dyDescent="0.2">
      <c r="A30" s="24" t="s">
        <v>53</v>
      </c>
      <c r="B30" s="25" t="s">
        <v>32</v>
      </c>
      <c r="C30" s="26">
        <v>56007.570959999997</v>
      </c>
      <c r="D30" s="26">
        <v>2.9999999999999997E-4</v>
      </c>
      <c r="E30">
        <f t="shared" si="0"/>
        <v>1201.5518096603735</v>
      </c>
      <c r="F30">
        <f t="shared" si="1"/>
        <v>1201.5</v>
      </c>
      <c r="G30">
        <f t="shared" si="5"/>
        <v>0.19511000000056811</v>
      </c>
      <c r="I30">
        <f t="shared" si="6"/>
        <v>0.19511000000056811</v>
      </c>
      <c r="O30">
        <f t="shared" ca="1" si="2"/>
        <v>8.6522438634373852E-2</v>
      </c>
      <c r="P30">
        <f t="shared" ca="1" si="3"/>
        <v>0.19581921435841776</v>
      </c>
      <c r="Q30" s="2">
        <f t="shared" si="4"/>
        <v>40989.070959999997</v>
      </c>
      <c r="S30">
        <f>G30</f>
        <v>0.19511000000056811</v>
      </c>
    </row>
    <row r="31" spans="1:20" x14ac:dyDescent="0.2">
      <c r="A31" s="24" t="s">
        <v>54</v>
      </c>
      <c r="B31" s="25" t="s">
        <v>36</v>
      </c>
      <c r="C31" s="26">
        <v>56167.520700000001</v>
      </c>
      <c r="D31" s="26">
        <v>3.7000000000000002E-3</v>
      </c>
      <c r="E31">
        <f t="shared" si="0"/>
        <v>1244.0249873868142</v>
      </c>
      <c r="F31">
        <f t="shared" si="1"/>
        <v>1244</v>
      </c>
      <c r="G31">
        <f t="shared" si="5"/>
        <v>9.4100000002072193E-2</v>
      </c>
      <c r="I31">
        <f t="shared" si="6"/>
        <v>9.4100000002072193E-2</v>
      </c>
      <c r="O31">
        <f t="shared" ca="1" si="2"/>
        <v>8.950262524081723E-2</v>
      </c>
      <c r="P31">
        <f t="shared" ca="1" si="3"/>
        <v>0.19790232365921265</v>
      </c>
      <c r="Q31" s="2">
        <f t="shared" si="4"/>
        <v>41149.020700000001</v>
      </c>
      <c r="R31">
        <f>G31</f>
        <v>9.4100000002072193E-2</v>
      </c>
    </row>
    <row r="32" spans="1:20" x14ac:dyDescent="0.2">
      <c r="A32" s="32" t="s">
        <v>41</v>
      </c>
      <c r="B32" s="28" t="s">
        <v>32</v>
      </c>
      <c r="C32" s="29">
        <v>56214.699800000002</v>
      </c>
      <c r="D32" s="29">
        <v>4.0000000000000002E-4</v>
      </c>
      <c r="E32">
        <f t="shared" si="0"/>
        <v>1256.5529621073329</v>
      </c>
      <c r="F32">
        <f t="shared" si="1"/>
        <v>1256.5</v>
      </c>
      <c r="G32">
        <f t="shared" si="5"/>
        <v>0.19945000000734581</v>
      </c>
      <c r="I32">
        <f t="shared" si="6"/>
        <v>0.19945000000734581</v>
      </c>
      <c r="O32">
        <f t="shared" ca="1" si="2"/>
        <v>9.0379150713300577E-2</v>
      </c>
      <c r="P32">
        <f t="shared" ca="1" si="3"/>
        <v>0.1985150028653288</v>
      </c>
      <c r="Q32" s="2">
        <f t="shared" si="4"/>
        <v>41196.199800000002</v>
      </c>
      <c r="S32">
        <f>G32</f>
        <v>0.19945000000734581</v>
      </c>
    </row>
    <row r="33" spans="1:18" x14ac:dyDescent="0.2">
      <c r="A33" s="32" t="s">
        <v>41</v>
      </c>
      <c r="B33" s="28" t="s">
        <v>36</v>
      </c>
      <c r="C33" s="29">
        <v>56261.664100000002</v>
      </c>
      <c r="D33" s="29">
        <v>3.0000000000000003E-4</v>
      </c>
      <c r="E33">
        <f t="shared" si="0"/>
        <v>1269.023898669642</v>
      </c>
      <c r="F33">
        <f t="shared" si="1"/>
        <v>1269</v>
      </c>
      <c r="G33">
        <f t="shared" si="5"/>
        <v>9.0000000003783498E-2</v>
      </c>
      <c r="I33">
        <f t="shared" si="6"/>
        <v>9.0000000003783498E-2</v>
      </c>
      <c r="O33">
        <f t="shared" ca="1" si="2"/>
        <v>9.1255676185783924E-2</v>
      </c>
      <c r="P33">
        <f t="shared" ca="1" si="3"/>
        <v>0.19912768207144493</v>
      </c>
      <c r="Q33" s="2">
        <f t="shared" si="4"/>
        <v>41243.164100000002</v>
      </c>
      <c r="R33">
        <f>G33</f>
        <v>9.0000000003783498E-2</v>
      </c>
    </row>
    <row r="34" spans="1:18" x14ac:dyDescent="0.2">
      <c r="A34" s="39" t="s">
        <v>55</v>
      </c>
      <c r="B34" s="40" t="s">
        <v>36</v>
      </c>
      <c r="C34" s="41">
        <v>59112.501799999998</v>
      </c>
      <c r="D34" s="42">
        <v>1.5E-3</v>
      </c>
      <c r="E34">
        <f t="shared" ref="E34" si="7">+(C34-C$7)/C$8</f>
        <v>2026.0375474654136</v>
      </c>
      <c r="F34">
        <f t="shared" ref="F34" si="8">ROUND(2*E34,0)/2</f>
        <v>2026</v>
      </c>
      <c r="G34">
        <f t="shared" ref="G34" si="9">+C34-(C$7+F34*C$8)</f>
        <v>0.14140000000043074</v>
      </c>
      <c r="I34">
        <f t="shared" ref="I34" si="10">+G34</f>
        <v>0.14140000000043074</v>
      </c>
      <c r="O34">
        <f t="shared" ref="O34" ca="1" si="11">+C$11+C$12*$F34</f>
        <v>0.14433805879937528</v>
      </c>
      <c r="P34">
        <f t="shared" ref="P34" ca="1" si="12">+D$11+D$12*$F34</f>
        <v>0.23623153479383885</v>
      </c>
      <c r="Q34" s="2">
        <f t="shared" ref="Q34" si="13">+C34-15018.5</f>
        <v>44094.001799999998</v>
      </c>
      <c r="R34">
        <f>G34</f>
        <v>0.14140000000043074</v>
      </c>
    </row>
    <row r="35" spans="1:18" x14ac:dyDescent="0.2">
      <c r="C35" s="10"/>
      <c r="D35" s="10"/>
    </row>
    <row r="36" spans="1:18" x14ac:dyDescent="0.2">
      <c r="C36" s="10"/>
      <c r="D36" s="10"/>
    </row>
    <row r="37" spans="1:18" x14ac:dyDescent="0.2">
      <c r="C37" s="10"/>
      <c r="D37" s="10"/>
    </row>
    <row r="38" spans="1:18" x14ac:dyDescent="0.2">
      <c r="C38" s="10"/>
      <c r="D38" s="10"/>
    </row>
    <row r="39" spans="1:18" x14ac:dyDescent="0.2">
      <c r="C39" s="10"/>
      <c r="D39" s="10"/>
    </row>
    <row r="40" spans="1:18" x14ac:dyDescent="0.2">
      <c r="C40" s="10"/>
      <c r="D40" s="10"/>
    </row>
    <row r="41" spans="1:18" x14ac:dyDescent="0.2">
      <c r="C41" s="10"/>
      <c r="D41" s="10"/>
    </row>
    <row r="42" spans="1:18" x14ac:dyDescent="0.2">
      <c r="C42" s="10"/>
      <c r="D42" s="10"/>
    </row>
    <row r="43" spans="1:18" x14ac:dyDescent="0.2">
      <c r="C43" s="10"/>
      <c r="D43" s="10"/>
    </row>
    <row r="44" spans="1:18" x14ac:dyDescent="0.2">
      <c r="C44" s="10"/>
      <c r="D44" s="10"/>
    </row>
    <row r="45" spans="1:18" x14ac:dyDescent="0.2">
      <c r="C45" s="10"/>
      <c r="D45" s="10"/>
    </row>
    <row r="46" spans="1:18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0ACC-432F-4CEA-B701-EB4ABF7D4FC5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2024-01-23T04:37:28Z</dcterms:modified>
</cp:coreProperties>
</file>