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FCC7082-8384-418D-B62A-16A6AB89B10D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H24" i="1"/>
  <c r="Q24" i="1"/>
  <c r="D9" i="2"/>
  <c r="C9" i="2"/>
  <c r="Q24" i="2"/>
  <c r="C7" i="2"/>
  <c r="E24" i="2"/>
  <c r="F24" i="2"/>
  <c r="C8" i="2"/>
  <c r="F16" i="2"/>
  <c r="F17" i="2" s="1"/>
  <c r="C17" i="2"/>
  <c r="A21" i="2"/>
  <c r="C21" i="2"/>
  <c r="E21" i="2"/>
  <c r="F21" i="2"/>
  <c r="G21" i="2"/>
  <c r="K21" i="2"/>
  <c r="Q21" i="2"/>
  <c r="Q22" i="2"/>
  <c r="E23" i="2"/>
  <c r="F23" i="2"/>
  <c r="G23" i="2"/>
  <c r="K23" i="2"/>
  <c r="Q23" i="2"/>
  <c r="F11" i="1"/>
  <c r="Q23" i="1"/>
  <c r="Q22" i="1"/>
  <c r="G11" i="1"/>
  <c r="E14" i="1"/>
  <c r="E15" i="1" s="1"/>
  <c r="C17" i="1"/>
  <c r="C21" i="1"/>
  <c r="A21" i="1"/>
  <c r="C7" i="1"/>
  <c r="E23" i="1"/>
  <c r="F23" i="1"/>
  <c r="C8" i="1"/>
  <c r="Q21" i="1"/>
  <c r="E21" i="1"/>
  <c r="F21" i="1"/>
  <c r="G21" i="1"/>
  <c r="G23" i="1"/>
  <c r="H23" i="1"/>
  <c r="E22" i="1"/>
  <c r="F22" i="1"/>
  <c r="G22" i="1"/>
  <c r="H22" i="1"/>
  <c r="G24" i="2"/>
  <c r="K24" i="2"/>
  <c r="E22" i="2"/>
  <c r="F22" i="2"/>
  <c r="G22" i="2"/>
  <c r="K22" i="2"/>
  <c r="H21" i="1"/>
  <c r="C11" i="2"/>
  <c r="C12" i="2"/>
  <c r="C12" i="1"/>
  <c r="C16" i="1" l="1"/>
  <c r="D18" i="1" s="1"/>
  <c r="C16" i="2"/>
  <c r="D18" i="2" s="1"/>
  <c r="O22" i="2"/>
  <c r="O23" i="2"/>
  <c r="O21" i="2"/>
  <c r="C15" i="2"/>
  <c r="F18" i="2" s="1"/>
  <c r="O24" i="2"/>
  <c r="C11" i="1"/>
  <c r="O24" i="1" l="1"/>
  <c r="O21" i="1"/>
  <c r="O23" i="1"/>
  <c r="C15" i="1"/>
  <c r="O22" i="1"/>
  <c r="C18" i="2"/>
  <c r="F19" i="2"/>
  <c r="E16" i="1" l="1"/>
  <c r="E17" i="1" s="1"/>
  <c r="C18" i="1"/>
</calcChain>
</file>

<file path=xl/sharedStrings.xml><?xml version="1.0" encoding="utf-8"?>
<sst xmlns="http://schemas.openxmlformats.org/spreadsheetml/2006/main" count="109" uniqueCount="53">
  <si>
    <t>IBVS 6244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</si>
  <si>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</si>
  <si>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</si>
  <si>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</si>
  <si>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</si>
  <si>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</si>
  <si>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</si>
  <si>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</si>
  <si>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</si>
  <si>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</si>
  <si>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</si>
  <si>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</si>
  <si>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</si>
  <si>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</si>
  <si>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</si>
  <si>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</si>
  <si>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</si>
  <si>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</si>
  <si>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</si>
  <si>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</si>
  <si>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</si>
  <si>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</si>
  <si>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</si>
  <si>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</si>
  <si>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</si>
  <si>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</si>
  <si>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</si>
  <si>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</si>
  <si>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</si>
  <si>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</si>
  <si>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</si>
  <si>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</si>
  <si>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</si>
  <si>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</si>
  <si>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</si>
  <si>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</si>
  <si>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</si>
  <si>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</si>
  <si>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</si>
  <si>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</si>
  <si>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</si>
  <si>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Cep</t>
  </si>
  <si>
    <t>EA</t>
  </si>
  <si>
    <t>IBVS 5686 Eph.</t>
  </si>
  <si>
    <t>IBVS 5686</t>
  </si>
  <si>
    <t>G3986-0860_Cep.xls</t>
  </si>
  <si>
    <t>Add cycle</t>
  </si>
  <si>
    <t>Old Cycle</t>
  </si>
  <si>
    <t>IBVS 5960</t>
  </si>
  <si>
    <t>I</t>
  </si>
  <si>
    <t>IBVS 5992</t>
  </si>
  <si>
    <t>vis</t>
  </si>
  <si>
    <t>V0743 Cep / GSC 3986-0860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</si>
</sst>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4" fillId="0" borderId="11" xfId="0" applyFont="1" applyBorder="1" applyAlignment="1">
      <alignment horizontal="left" vertical="center"/>
    </xf>
    <xf numFmtId="0" fontId="4" fillId="2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0" fillId="0" borderId="0" xfId="41" applyFont="1" applyAlignment="1">
      <alignment horizontal="left"/>
    </xf>
    <xf numFmtId="0" fontId="30" fillId="0" borderId="0" xfId="41" applyFont="1" applyAlignment="1">
      <alignment horizontal="left" wrapText="1"/>
    </xf>
    <xf numFmtId="0" fontId="0" fillId="25" borderId="0" xfId="0" applyFill="1" applyAlignment="1"/>
    <xf numFmtId="0" fontId="0" fillId="26" borderId="0" xfId="0" applyFill="1" applyAlignment="1"/>
    <xf numFmtId="0" fontId="32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V0743 Cep - O-C Diagr.</a:t>
            </a:r>
          </a:p>
        </c:rich>
      </c:tx>
      <c:layout>
        <c:manualLayout>
          <c:xMode val="edge"/>
          <c:yMode val="edge"/>
          <c:x val="0.3789473684210526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</c:v>
                </c:pt>
                <c:pt idx="2">
                  <c:v>869</c:v>
                </c:pt>
                <c:pt idx="3">
                  <c:v>1379.5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5.1599999998870771E-2</c:v>
                </c:pt>
                <c:pt idx="2">
                  <c:v>-0.21039999999629799</c:v>
                </c:pt>
                <c:pt idx="3">
                  <c:v>0.24470000000292202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7D-4C18-8E09-2D9BA2FEAA2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</c:v>
                </c:pt>
                <c:pt idx="2">
                  <c:v>869</c:v>
                </c:pt>
                <c:pt idx="3">
                  <c:v>1379.5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7D-4C18-8E09-2D9BA2FEAA2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</c:v>
                </c:pt>
                <c:pt idx="2">
                  <c:v>869</c:v>
                </c:pt>
                <c:pt idx="3">
                  <c:v>1379.5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7D-4C18-8E09-2D9BA2FEAA2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</c:v>
                </c:pt>
                <c:pt idx="2">
                  <c:v>869</c:v>
                </c:pt>
                <c:pt idx="3">
                  <c:v>1379.5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7D-4C18-8E09-2D9BA2FEAA2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</c:v>
                </c:pt>
                <c:pt idx="2">
                  <c:v>869</c:v>
                </c:pt>
                <c:pt idx="3">
                  <c:v>1379.5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7D-4C18-8E09-2D9BA2FEAA2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</c:v>
                </c:pt>
                <c:pt idx="2">
                  <c:v>869</c:v>
                </c:pt>
                <c:pt idx="3">
                  <c:v>1379.5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7D-4C18-8E09-2D9BA2FEAA2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</c:v>
                </c:pt>
                <c:pt idx="2">
                  <c:v>869</c:v>
                </c:pt>
                <c:pt idx="3">
                  <c:v>1379.5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7D-4C18-8E09-2D9BA2FEAA2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</c:v>
                </c:pt>
                <c:pt idx="2">
                  <c:v>869</c:v>
                </c:pt>
                <c:pt idx="3">
                  <c:v>1379.5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-8.2508147074927263E-2</c:v>
                </c:pt>
                <c:pt idx="1">
                  <c:v>3.0811781529823307E-2</c:v>
                </c:pt>
                <c:pt idx="2">
                  <c:v>3.4445555962517208E-2</c:v>
                </c:pt>
                <c:pt idx="3">
                  <c:v>0.10315080958808154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7D-4C18-8E09-2D9BA2FE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942048"/>
        <c:axId val="1"/>
      </c:scatterChart>
      <c:valAx>
        <c:axId val="917942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942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V0743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0075187969924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</c:v>
                </c:pt>
                <c:pt idx="2">
                  <c:v>871</c:v>
                </c:pt>
                <c:pt idx="3">
                  <c:v>1382.5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38-4DCE-BAA0-9AC1DAE368E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</c:v>
                </c:pt>
                <c:pt idx="2">
                  <c:v>871</c:v>
                </c:pt>
                <c:pt idx="3">
                  <c:v>1382.5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38-4DCE-BAA0-9AC1DAE368E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</c:v>
                </c:pt>
                <c:pt idx="2">
                  <c:v>871</c:v>
                </c:pt>
                <c:pt idx="3">
                  <c:v>1382.5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38-4DCE-BAA0-9AC1DAE368E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</c:v>
                </c:pt>
                <c:pt idx="2">
                  <c:v>871</c:v>
                </c:pt>
                <c:pt idx="3">
                  <c:v>1382.5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-9.2927999999956228</c:v>
                </c:pt>
                <c:pt idx="2">
                  <c:v>-9.5547999999980675</c:v>
                </c:pt>
                <c:pt idx="3">
                  <c:v>-13.771899999999732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38-4DCE-BAA0-9AC1DAE368E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</c:v>
                </c:pt>
                <c:pt idx="2">
                  <c:v>871</c:v>
                </c:pt>
                <c:pt idx="3">
                  <c:v>1382.5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38-4DCE-BAA0-9AC1DAE368E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</c:v>
                </c:pt>
                <c:pt idx="2">
                  <c:v>871</c:v>
                </c:pt>
                <c:pt idx="3">
                  <c:v>1382.5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38-4DCE-BAA0-9AC1DAE368E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5.9999999999999995E-4</c:v>
                  </c:pt>
                  <c:pt idx="3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</c:v>
                </c:pt>
                <c:pt idx="2">
                  <c:v>871</c:v>
                </c:pt>
                <c:pt idx="3">
                  <c:v>1382.5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38-4DCE-BAA0-9AC1DAE368E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844</c:v>
                </c:pt>
                <c:pt idx="2">
                  <c:v>871</c:v>
                </c:pt>
                <c:pt idx="3">
                  <c:v>1382.5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-2.3189974404434128</c:v>
                </c:pt>
                <c:pt idx="1">
                  <c:v>-9.3114611953398541</c:v>
                </c:pt>
                <c:pt idx="2">
                  <c:v>-9.5351537562192412</c:v>
                </c:pt>
                <c:pt idx="3">
                  <c:v>-13.772885048434325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38-4DCE-BAA0-9AC1DAE3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934488"/>
        <c:axId val="1"/>
      </c:scatterChart>
      <c:valAx>
        <c:axId val="917934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934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0</xdr:rowOff>
    </xdr:from>
    <xdr:to>
      <xdr:col>16</xdr:col>
      <xdr:colOff>419100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2DD4EC-5AB3-9054-D519-2B3BCD917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5DE05464-6003-52FD-6CFF-CA3D431B2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43" t="s">
        <v>52</v>
      </c>
      <c r="E1" s="29"/>
      <c r="F1" s="31" t="s">
        <v>41</v>
      </c>
      <c r="G1" s="29" t="s">
        <v>42</v>
      </c>
      <c r="H1" s="32" t="s">
        <v>43</v>
      </c>
      <c r="I1" s="30">
        <v>51542.684000000001</v>
      </c>
      <c r="J1" s="30">
        <v>4.6722000000000001</v>
      </c>
      <c r="K1" s="33" t="s">
        <v>44</v>
      </c>
      <c r="L1" s="34" t="s">
        <v>45</v>
      </c>
    </row>
    <row r="2" spans="1:12" x14ac:dyDescent="0.2">
      <c r="A2" t="s">
        <v>27</v>
      </c>
      <c r="B2" t="s">
        <v>42</v>
      </c>
      <c r="C2" s="8"/>
      <c r="D2" s="8"/>
    </row>
    <row r="3" spans="1:12" ht="13.5" thickBot="1" x14ac:dyDescent="0.25"/>
    <row r="4" spans="1:12" ht="14.25" thickTop="1" thickBot="1" x14ac:dyDescent="0.25">
      <c r="A4" s="28" t="s">
        <v>43</v>
      </c>
      <c r="C4" s="6">
        <v>51542.684000000001</v>
      </c>
      <c r="D4" s="7">
        <v>4.6722000000000001</v>
      </c>
    </row>
    <row r="6" spans="1:12" x14ac:dyDescent="0.2">
      <c r="A6" s="3" t="s">
        <v>4</v>
      </c>
    </row>
    <row r="7" spans="1:12" x14ac:dyDescent="0.2">
      <c r="A7" t="s">
        <v>5</v>
      </c>
      <c r="C7">
        <f>+C4</f>
        <v>51542.684000000001</v>
      </c>
    </row>
    <row r="8" spans="1:12" x14ac:dyDescent="0.2">
      <c r="A8" t="s">
        <v>6</v>
      </c>
      <c r="C8">
        <f>+D4</f>
        <v>4.6722000000000001</v>
      </c>
    </row>
    <row r="9" spans="1:12" x14ac:dyDescent="0.2">
      <c r="A9" s="9" t="s">
        <v>34</v>
      </c>
      <c r="B9" s="10"/>
      <c r="C9" s="11">
        <v>-9.5</v>
      </c>
      <c r="D9" s="10" t="s">
        <v>35</v>
      </c>
      <c r="E9" s="10"/>
    </row>
    <row r="10" spans="1:12" ht="13.5" thickBot="1" x14ac:dyDescent="0.25">
      <c r="A10" s="10"/>
      <c r="B10" s="10"/>
      <c r="C10" s="2" t="s">
        <v>23</v>
      </c>
      <c r="D10" s="2" t="s">
        <v>24</v>
      </c>
      <c r="E10" s="10"/>
    </row>
    <row r="11" spans="1:12" x14ac:dyDescent="0.2">
      <c r="A11" s="10" t="s">
        <v>18</v>
      </c>
      <c r="B11" s="10"/>
      <c r="C11" s="23">
        <f ca="1">INTERCEPT(INDIRECT($G$11):G992,INDIRECT($F$11):F992)</f>
        <v>-8.2508147074927263E-2</v>
      </c>
      <c r="D11" s="12"/>
      <c r="E11" s="10"/>
      <c r="F11" s="24" t="str">
        <f>"F"&amp;E19</f>
        <v>F21</v>
      </c>
      <c r="G11" s="25" t="str">
        <f>"G"&amp;E19</f>
        <v>G21</v>
      </c>
    </row>
    <row r="12" spans="1:12" x14ac:dyDescent="0.2">
      <c r="A12" s="10" t="s">
        <v>19</v>
      </c>
      <c r="B12" s="10"/>
      <c r="C12" s="23">
        <f ca="1">SLOPE(INDIRECT($G$11):G992,INDIRECT($F$11):F992)</f>
        <v>1.345842382479223E-4</v>
      </c>
      <c r="D12" s="12"/>
      <c r="E12" s="10"/>
    </row>
    <row r="13" spans="1:12" x14ac:dyDescent="0.2">
      <c r="A13" s="10" t="s">
        <v>22</v>
      </c>
      <c r="B13" s="10"/>
      <c r="C13" s="12" t="s">
        <v>16</v>
      </c>
      <c r="D13" s="15" t="s">
        <v>46</v>
      </c>
      <c r="E13" s="11">
        <v>1</v>
      </c>
    </row>
    <row r="14" spans="1:12" x14ac:dyDescent="0.2">
      <c r="A14" s="10"/>
      <c r="B14" s="10"/>
      <c r="C14" s="10"/>
      <c r="D14" s="15" t="s">
        <v>36</v>
      </c>
      <c r="E14" s="16">
        <f ca="1">NOW()+15018.5+$C$9/24</f>
        <v>60332.738122453702</v>
      </c>
    </row>
    <row r="15" spans="1:12" x14ac:dyDescent="0.2">
      <c r="A15" s="13" t="s">
        <v>20</v>
      </c>
      <c r="B15" s="10"/>
      <c r="C15" s="14">
        <f ca="1">(C7+C11)+(C8+C12)*INT(MAX(F21:F3533))</f>
        <v>57985.750883517467</v>
      </c>
      <c r="D15" s="15" t="s">
        <v>47</v>
      </c>
      <c r="E15" s="16">
        <f ca="1">ROUND(2*(E14-$C$7)/$C$8,0)/2+E13</f>
        <v>1882.5</v>
      </c>
    </row>
    <row r="16" spans="1:12" x14ac:dyDescent="0.2">
      <c r="A16" s="17" t="s">
        <v>7</v>
      </c>
      <c r="B16" s="10"/>
      <c r="C16" s="18">
        <f ca="1">+C8+C12</f>
        <v>4.6723345842382482</v>
      </c>
      <c r="D16" s="15" t="s">
        <v>37</v>
      </c>
      <c r="E16" s="25">
        <f ca="1">ROUND(2*(E14-$C$15)/$C$16,0)/2+E13</f>
        <v>503.5</v>
      </c>
    </row>
    <row r="17" spans="1:17" ht="13.5" thickBot="1" x14ac:dyDescent="0.25">
      <c r="A17" s="15" t="s">
        <v>33</v>
      </c>
      <c r="B17" s="10"/>
      <c r="C17" s="10">
        <f>COUNT(C21:C2191)</f>
        <v>4</v>
      </c>
      <c r="D17" s="15" t="s">
        <v>38</v>
      </c>
      <c r="E17" s="19">
        <f ca="1">+$C$15+$C$16*E16-15018.5-$C$9/24</f>
        <v>45320.16718001476</v>
      </c>
    </row>
    <row r="18" spans="1:17" ht="14.25" thickTop="1" thickBot="1" x14ac:dyDescent="0.25">
      <c r="A18" s="17" t="s">
        <v>8</v>
      </c>
      <c r="B18" s="10"/>
      <c r="C18" s="20">
        <f ca="1">+C15</f>
        <v>57985.750883517467</v>
      </c>
      <c r="D18" s="21">
        <f ca="1">+C16</f>
        <v>4.6723345842382482</v>
      </c>
      <c r="E18" s="22" t="s">
        <v>39</v>
      </c>
    </row>
    <row r="19" spans="1:17" ht="13.5" thickTop="1" x14ac:dyDescent="0.2">
      <c r="A19" s="26" t="s">
        <v>40</v>
      </c>
      <c r="E19" s="27">
        <v>21</v>
      </c>
    </row>
    <row r="20" spans="1:17" ht="13.5" thickBot="1" x14ac:dyDescent="0.25">
      <c r="A20" s="2" t="s">
        <v>9</v>
      </c>
      <c r="B20" s="2" t="s">
        <v>10</v>
      </c>
      <c r="C20" s="2" t="s">
        <v>11</v>
      </c>
      <c r="D20" s="2" t="s">
        <v>15</v>
      </c>
      <c r="E20" s="2" t="s">
        <v>12</v>
      </c>
      <c r="F20" s="2" t="s">
        <v>13</v>
      </c>
      <c r="G20" s="2" t="s">
        <v>14</v>
      </c>
      <c r="H20" s="5" t="s">
        <v>32</v>
      </c>
      <c r="I20" s="5" t="s">
        <v>2</v>
      </c>
      <c r="J20" s="5" t="s">
        <v>21</v>
      </c>
      <c r="K20" s="5" t="s">
        <v>28</v>
      </c>
      <c r="L20" s="5" t="s">
        <v>29</v>
      </c>
      <c r="M20" s="5" t="s">
        <v>30</v>
      </c>
      <c r="N20" s="5" t="s">
        <v>31</v>
      </c>
      <c r="O20" s="5" t="s">
        <v>26</v>
      </c>
      <c r="P20" s="4" t="s">
        <v>25</v>
      </c>
      <c r="Q20" s="2" t="s">
        <v>17</v>
      </c>
    </row>
    <row r="21" spans="1:17" x14ac:dyDescent="0.2">
      <c r="A21" t="str">
        <f>$K$1</f>
        <v>IBVS 5686</v>
      </c>
      <c r="C21" s="8">
        <f>+$C$4</f>
        <v>51542.684000000001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-8.2508147074927263E-2</v>
      </c>
      <c r="Q21" s="1">
        <f>+C21-15018.5</f>
        <v>36524.184000000001</v>
      </c>
    </row>
    <row r="22" spans="1:17" x14ac:dyDescent="0.2">
      <c r="A22" s="35" t="s">
        <v>48</v>
      </c>
      <c r="B22" s="36" t="s">
        <v>49</v>
      </c>
      <c r="C22" s="35">
        <v>55476.728000000003</v>
      </c>
      <c r="D22" s="35">
        <v>1.5E-3</v>
      </c>
      <c r="E22">
        <f>+(C22-C$7)/C$8</f>
        <v>842.01104404777232</v>
      </c>
      <c r="F22">
        <f>ROUND(2*E22,0)/2</f>
        <v>842</v>
      </c>
      <c r="G22">
        <f>+C22-(C$7+F22*C$8)</f>
        <v>5.1599999998870771E-2</v>
      </c>
      <c r="H22">
        <f>+G22</f>
        <v>5.1599999998870771E-2</v>
      </c>
      <c r="O22">
        <f ca="1">+C$11+C$12*$F22</f>
        <v>3.0811781529823307E-2</v>
      </c>
      <c r="Q22" s="1">
        <f>+C22-15018.5</f>
        <v>40458.228000000003</v>
      </c>
    </row>
    <row r="23" spans="1:17" x14ac:dyDescent="0.2">
      <c r="A23" s="35" t="s">
        <v>50</v>
      </c>
      <c r="B23" s="36" t="s">
        <v>49</v>
      </c>
      <c r="C23" s="35">
        <v>55602.615400000002</v>
      </c>
      <c r="D23" s="35">
        <v>5.9999999999999995E-4</v>
      </c>
      <c r="E23">
        <f>+(C23-C$7)/C$8</f>
        <v>868.95496768117823</v>
      </c>
      <c r="F23">
        <f>ROUND(2*E23,0)/2</f>
        <v>869</v>
      </c>
      <c r="G23">
        <f>+C23-(C$7+F23*C$8)</f>
        <v>-0.21039999999629799</v>
      </c>
      <c r="H23">
        <f>+G23</f>
        <v>-0.21039999999629799</v>
      </c>
      <c r="O23">
        <f ca="1">+C$11+C$12*$F23</f>
        <v>3.4445555962517208E-2</v>
      </c>
      <c r="Q23" s="1">
        <f>+C23-15018.5</f>
        <v>40584.115400000002</v>
      </c>
    </row>
    <row r="24" spans="1:17" x14ac:dyDescent="0.2">
      <c r="A24" s="39" t="s">
        <v>0</v>
      </c>
      <c r="B24" s="40" t="s">
        <v>49</v>
      </c>
      <c r="C24" s="40">
        <v>57988.228600000002</v>
      </c>
      <c r="D24" s="40">
        <v>3.5999999999999999E-3</v>
      </c>
      <c r="E24">
        <f>+(C24-C$7)/C$8</f>
        <v>1379.5523736141433</v>
      </c>
      <c r="F24">
        <f>ROUND(2*E24,0)/2</f>
        <v>1379.5</v>
      </c>
      <c r="G24">
        <f>+C24-(C$7+F24*C$8)</f>
        <v>0.24470000000292202</v>
      </c>
      <c r="H24">
        <f>+G24</f>
        <v>0.24470000000292202</v>
      </c>
      <c r="O24">
        <f ca="1">+C$11+C$12*$F24</f>
        <v>0.10315080958808154</v>
      </c>
      <c r="Q24" s="1">
        <f>+C24-15018.5</f>
        <v>42969.728600000002</v>
      </c>
    </row>
    <row r="25" spans="1:17" x14ac:dyDescent="0.2">
      <c r="C25" s="8"/>
      <c r="D25" s="8"/>
      <c r="Q25" s="1"/>
    </row>
    <row r="26" spans="1:17" x14ac:dyDescent="0.2">
      <c r="C26" s="8"/>
      <c r="D26" s="8"/>
      <c r="Q26" s="1"/>
    </row>
    <row r="27" spans="1:17" x14ac:dyDescent="0.2">
      <c r="C27" s="8"/>
      <c r="D27" s="8"/>
      <c r="Q27" s="1"/>
    </row>
    <row r="28" spans="1:17" x14ac:dyDescent="0.2">
      <c r="C28" s="8"/>
      <c r="D28" s="8"/>
      <c r="Q28" s="1"/>
    </row>
    <row r="29" spans="1:17" x14ac:dyDescent="0.2">
      <c r="C29" s="8"/>
      <c r="D29" s="8"/>
      <c r="Q29" s="1"/>
    </row>
    <row r="30" spans="1:17" x14ac:dyDescent="0.2">
      <c r="C30" s="8"/>
      <c r="D30" s="8"/>
      <c r="Q30" s="1"/>
    </row>
    <row r="31" spans="1:17" x14ac:dyDescent="0.2">
      <c r="C31" s="8"/>
      <c r="D31" s="8"/>
      <c r="Q31" s="1"/>
    </row>
    <row r="32" spans="1:17" x14ac:dyDescent="0.2">
      <c r="C32" s="8"/>
      <c r="D32" s="8"/>
      <c r="Q32" s="1"/>
    </row>
    <row r="33" spans="3:17" x14ac:dyDescent="0.2">
      <c r="C33" s="8"/>
      <c r="D33" s="8"/>
      <c r="Q33" s="1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6940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43" t="s">
        <v>52</v>
      </c>
      <c r="E1" s="29"/>
      <c r="F1" s="31" t="s">
        <v>41</v>
      </c>
      <c r="G1" s="29" t="s">
        <v>42</v>
      </c>
      <c r="H1" s="32" t="s">
        <v>43</v>
      </c>
      <c r="I1" s="30">
        <v>51542.684000000001</v>
      </c>
      <c r="J1" s="30">
        <v>4.6722000000000001</v>
      </c>
      <c r="K1" s="33" t="s">
        <v>44</v>
      </c>
      <c r="L1" s="34" t="s">
        <v>45</v>
      </c>
    </row>
    <row r="2" spans="1:12" x14ac:dyDescent="0.2">
      <c r="A2" t="s">
        <v>27</v>
      </c>
      <c r="B2" t="s">
        <v>42</v>
      </c>
      <c r="C2" s="8"/>
      <c r="D2" s="8"/>
    </row>
    <row r="3" spans="1:12" ht="13.5" thickBot="1" x14ac:dyDescent="0.25"/>
    <row r="4" spans="1:12" ht="14.25" thickTop="1" thickBot="1" x14ac:dyDescent="0.25">
      <c r="A4" s="28" t="s">
        <v>43</v>
      </c>
      <c r="C4" s="6">
        <v>51542.684000000001</v>
      </c>
      <c r="D4" s="7">
        <v>4.6722000000000001</v>
      </c>
    </row>
    <row r="5" spans="1:12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12" x14ac:dyDescent="0.2">
      <c r="A6" s="3" t="s">
        <v>4</v>
      </c>
    </row>
    <row r="7" spans="1:12" x14ac:dyDescent="0.2">
      <c r="A7" t="s">
        <v>5</v>
      </c>
      <c r="C7">
        <f>+C4</f>
        <v>51542.684000000001</v>
      </c>
    </row>
    <row r="8" spans="1:12" x14ac:dyDescent="0.2">
      <c r="A8" t="s">
        <v>6</v>
      </c>
      <c r="C8">
        <f>+D4</f>
        <v>4.6722000000000001</v>
      </c>
    </row>
    <row r="9" spans="1:12" x14ac:dyDescent="0.2">
      <c r="A9" s="26" t="s">
        <v>40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 x14ac:dyDescent="0.25">
      <c r="A10" s="10"/>
      <c r="B10" s="10"/>
      <c r="C10" s="2" t="s">
        <v>23</v>
      </c>
      <c r="D10" s="2" t="s">
        <v>24</v>
      </c>
      <c r="E10" s="10"/>
    </row>
    <row r="11" spans="1:12" x14ac:dyDescent="0.2">
      <c r="A11" s="10" t="s">
        <v>18</v>
      </c>
      <c r="B11" s="10"/>
      <c r="C11" s="23">
        <f ca="1">INTERCEPT(INDIRECT($D$9):G992,INDIRECT($C$9):F992)</f>
        <v>-2.3189974404434128</v>
      </c>
      <c r="D11" s="12"/>
      <c r="E11" s="10"/>
    </row>
    <row r="12" spans="1:12" x14ac:dyDescent="0.2">
      <c r="A12" s="10" t="s">
        <v>19</v>
      </c>
      <c r="B12" s="10"/>
      <c r="C12" s="23">
        <f ca="1">SLOPE(INDIRECT($D$9):G992,INDIRECT($C$9):F992)</f>
        <v>-8.2849096621995747E-3</v>
      </c>
      <c r="D12" s="12"/>
      <c r="E12" s="10"/>
    </row>
    <row r="13" spans="1:12" x14ac:dyDescent="0.2">
      <c r="A13" s="10" t="s">
        <v>22</v>
      </c>
      <c r="B13" s="10"/>
      <c r="C13" s="12" t="s">
        <v>16</v>
      </c>
    </row>
    <row r="14" spans="1:12" x14ac:dyDescent="0.2">
      <c r="A14" s="10"/>
      <c r="B14" s="10"/>
      <c r="C14" s="10"/>
    </row>
    <row r="15" spans="1:12" x14ac:dyDescent="0.2">
      <c r="A15" s="13" t="s">
        <v>20</v>
      </c>
      <c r="B15" s="10"/>
      <c r="C15" s="14">
        <f ca="1">(C7+C11)+(C8+C12)*INT(MAX(F21:F3533))</f>
        <v>57985.8956574064</v>
      </c>
      <c r="E15" s="15" t="s">
        <v>46</v>
      </c>
      <c r="F15" s="11">
        <v>1</v>
      </c>
    </row>
    <row r="16" spans="1:12" x14ac:dyDescent="0.2">
      <c r="A16" s="17" t="s">
        <v>7</v>
      </c>
      <c r="B16" s="10"/>
      <c r="C16" s="18">
        <f ca="1">+C8+C12</f>
        <v>4.6639150903378006</v>
      </c>
      <c r="E16" s="15" t="s">
        <v>36</v>
      </c>
      <c r="F16" s="16">
        <f ca="1">NOW()+15018.5+$C$5/24</f>
        <v>60332.738122453702</v>
      </c>
    </row>
    <row r="17" spans="1:17" ht="13.5" thickBot="1" x14ac:dyDescent="0.25">
      <c r="A17" s="15" t="s">
        <v>33</v>
      </c>
      <c r="B17" s="10"/>
      <c r="C17" s="10">
        <f>COUNT(C21:C2191)</f>
        <v>4</v>
      </c>
      <c r="E17" s="15" t="s">
        <v>47</v>
      </c>
      <c r="F17" s="16">
        <f ca="1">ROUND(2*(F16-$C$7)/$C$8,0)/2+F15</f>
        <v>1882.5</v>
      </c>
    </row>
    <row r="18" spans="1:17" ht="14.25" thickTop="1" thickBot="1" x14ac:dyDescent="0.25">
      <c r="A18" s="17" t="s">
        <v>8</v>
      </c>
      <c r="B18" s="10"/>
      <c r="C18" s="20">
        <f ca="1">+C15</f>
        <v>57985.8956574064</v>
      </c>
      <c r="D18" s="21">
        <f ca="1">+C16</f>
        <v>4.6639150903378006</v>
      </c>
      <c r="E18" s="15" t="s">
        <v>37</v>
      </c>
      <c r="F18" s="25">
        <f ca="1">ROUND(2*(F16-$C$15)/$C$16,0)/2+F15</f>
        <v>504</v>
      </c>
    </row>
    <row r="19" spans="1:17" ht="13.5" thickTop="1" x14ac:dyDescent="0.2">
      <c r="E19" s="15" t="s">
        <v>38</v>
      </c>
      <c r="F19" s="19">
        <f ca="1">+$C$15+$C$16*F18-15018.5-$C$5/24</f>
        <v>45318.404696269987</v>
      </c>
    </row>
    <row r="20" spans="1:17" ht="13.5" thickBot="1" x14ac:dyDescent="0.25">
      <c r="A20" s="2" t="s">
        <v>9</v>
      </c>
      <c r="B20" s="2" t="s">
        <v>10</v>
      </c>
      <c r="C20" s="2" t="s">
        <v>11</v>
      </c>
      <c r="D20" s="2" t="s">
        <v>15</v>
      </c>
      <c r="E20" s="2" t="s">
        <v>12</v>
      </c>
      <c r="F20" s="2" t="s">
        <v>13</v>
      </c>
      <c r="G20" s="2" t="s">
        <v>14</v>
      </c>
      <c r="H20" s="5" t="s">
        <v>3</v>
      </c>
      <c r="I20" s="5" t="s">
        <v>51</v>
      </c>
      <c r="J20" s="5" t="s">
        <v>1</v>
      </c>
      <c r="K20" s="5" t="s">
        <v>2</v>
      </c>
      <c r="L20" s="5" t="s">
        <v>29</v>
      </c>
      <c r="M20" s="5" t="s">
        <v>30</v>
      </c>
      <c r="N20" s="5" t="s">
        <v>31</v>
      </c>
      <c r="O20" s="5" t="s">
        <v>26</v>
      </c>
      <c r="P20" s="4" t="s">
        <v>25</v>
      </c>
      <c r="Q20" s="2" t="s">
        <v>17</v>
      </c>
    </row>
    <row r="21" spans="1:17" x14ac:dyDescent="0.2">
      <c r="A21" t="str">
        <f>$K$1</f>
        <v>IBVS 5686</v>
      </c>
      <c r="C21" s="8">
        <f>+$C$4</f>
        <v>51542.684000000001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-2.3189974404434128</v>
      </c>
      <c r="Q21" s="1">
        <f>+C21-15018.5</f>
        <v>36524.184000000001</v>
      </c>
    </row>
    <row r="22" spans="1:17" x14ac:dyDescent="0.2">
      <c r="A22" s="37" t="s">
        <v>48</v>
      </c>
      <c r="B22" s="38" t="s">
        <v>49</v>
      </c>
      <c r="C22" s="37">
        <v>55476.728000000003</v>
      </c>
      <c r="D22" s="37">
        <v>1.5E-3</v>
      </c>
      <c r="E22">
        <f>+(C22-C$7)/C$8</f>
        <v>842.01104404777232</v>
      </c>
      <c r="F22" s="41">
        <f>ROUND(2*E22,0)/2+2</f>
        <v>844</v>
      </c>
      <c r="G22">
        <f>+C22-(C$7+F22*C$8)</f>
        <v>-9.2927999999956228</v>
      </c>
      <c r="K22">
        <f>+G22</f>
        <v>-9.2927999999956228</v>
      </c>
      <c r="O22">
        <f ca="1">+C$11+C$12*$F22</f>
        <v>-9.3114611953398541</v>
      </c>
      <c r="Q22" s="1">
        <f>+C22-15018.5</f>
        <v>40458.228000000003</v>
      </c>
    </row>
    <row r="23" spans="1:17" x14ac:dyDescent="0.2">
      <c r="A23" s="37" t="s">
        <v>50</v>
      </c>
      <c r="B23" s="38" t="s">
        <v>49</v>
      </c>
      <c r="C23" s="37">
        <v>55602.615400000002</v>
      </c>
      <c r="D23" s="37">
        <v>5.9999999999999995E-4</v>
      </c>
      <c r="E23">
        <f>+(C23-C$7)/C$8</f>
        <v>868.95496768117823</v>
      </c>
      <c r="F23" s="41">
        <f>ROUND(2*E23,0)/2+2</f>
        <v>871</v>
      </c>
      <c r="G23">
        <f>+C23-(C$7+F23*C$8)</f>
        <v>-9.5547999999980675</v>
      </c>
      <c r="K23">
        <f>+G23</f>
        <v>-9.5547999999980675</v>
      </c>
      <c r="O23">
        <f ca="1">+C$11+C$12*$F23</f>
        <v>-9.5351537562192412</v>
      </c>
      <c r="Q23" s="1">
        <f>+C23-15018.5</f>
        <v>40584.115400000002</v>
      </c>
    </row>
    <row r="24" spans="1:17" x14ac:dyDescent="0.2">
      <c r="A24" s="39" t="s">
        <v>0</v>
      </c>
      <c r="B24" s="40" t="s">
        <v>49</v>
      </c>
      <c r="C24" s="40">
        <v>57988.228600000002</v>
      </c>
      <c r="D24" s="40">
        <v>3.5999999999999999E-3</v>
      </c>
      <c r="E24">
        <f>+(C24-C$7)/C$8</f>
        <v>1379.5523736141433</v>
      </c>
      <c r="F24" s="42">
        <f>ROUND(2*E24,0)/2+3</f>
        <v>1382.5</v>
      </c>
      <c r="G24">
        <f>+C24-(C$7+F24*C$8)</f>
        <v>-13.771899999999732</v>
      </c>
      <c r="K24">
        <f>+G24</f>
        <v>-13.771899999999732</v>
      </c>
      <c r="O24">
        <f ca="1">+C$11+C$12*$F24</f>
        <v>-13.772885048434325</v>
      </c>
      <c r="Q24" s="1">
        <f>+C24-15018.5</f>
        <v>42969.728600000002</v>
      </c>
    </row>
    <row r="25" spans="1:17" x14ac:dyDescent="0.2">
      <c r="C25" s="8"/>
      <c r="D25" s="8"/>
      <c r="Q25" s="1"/>
    </row>
    <row r="26" spans="1:17" x14ac:dyDescent="0.2">
      <c r="C26" s="8"/>
      <c r="D26" s="8"/>
      <c r="Q26" s="1"/>
    </row>
    <row r="27" spans="1:17" x14ac:dyDescent="0.2">
      <c r="C27" s="8"/>
      <c r="D27" s="8"/>
      <c r="Q27" s="1"/>
    </row>
    <row r="28" spans="1:17" x14ac:dyDescent="0.2">
      <c r="C28" s="8"/>
      <c r="D28" s="8"/>
      <c r="Q28" s="1"/>
    </row>
    <row r="29" spans="1:17" x14ac:dyDescent="0.2">
      <c r="C29" s="8"/>
      <c r="D29" s="8"/>
      <c r="Q29" s="1"/>
    </row>
    <row r="30" spans="1:17" x14ac:dyDescent="0.2">
      <c r="C30" s="8"/>
      <c r="D30" s="8"/>
      <c r="Q30" s="1"/>
    </row>
    <row r="31" spans="1:17" x14ac:dyDescent="0.2">
      <c r="C31" s="8"/>
      <c r="D31" s="8"/>
      <c r="Q31" s="1"/>
    </row>
    <row r="32" spans="1:17" x14ac:dyDescent="0.2">
      <c r="C32" s="8"/>
      <c r="D32" s="8"/>
      <c r="Q32" s="1"/>
    </row>
    <row r="33" spans="3:17" x14ac:dyDescent="0.2">
      <c r="C33" s="8"/>
      <c r="D33" s="8"/>
      <c r="Q33" s="1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906" r:id="rId1" display="http://vsolj.cetus-net.org/bulletin.html"/>
    <hyperlink ref="H64899" r:id="rId2" display="https://www.aavso.org/ejaavso"/>
    <hyperlink ref="AP1050" r:id="rId3" display="http://cdsbib.u-strasbg.fr/cgi-bin/cdsbib?1990RMxAA..21..381G"/>
    <hyperlink ref="AP1054" r:id="rId4" display="http://cdsbib.u-strasbg.fr/cgi-bin/cdsbib?1990RMxAA..21..381G"/>
    <hyperlink ref="AP1053" r:id="rId5" display="http://cdsbib.u-strasbg.fr/cgi-bin/cdsbib?1990RMxAA..21..381G"/>
    <hyperlink ref="AP1034" r:id="rId6" display="http://cdsbib.u-strasbg.fr/cgi-bin/cdsbib?1990RMxAA..21..381G"/>
    <hyperlink ref="I64906" r:id="rId7" display="http://vsolj.cetus-net.org/bulletin.html"/>
    <hyperlink ref="AQ1190" r:id="rId8" display="http://cdsbib.u-strasbg.fr/cgi-bin/cdsbib?1990RMxAA..21..381G"/>
    <hyperlink ref="AQ55956" r:id="rId9" display="http://cdsbib.u-strasbg.fr/cgi-bin/cdsbib?1990RMxAA..21..381G"/>
    <hyperlink ref="AQ1191" r:id="rId10" display="http://cdsbib.u-strasbg.fr/cgi-bin/cdsbib?1990RMxAA..21..381G"/>
    <hyperlink ref="H64903" r:id="rId11" display="https://www.aavso.org/ejaavso"/>
    <hyperlink ref="H2076" r:id="rId12" display="http://vsolj.cetus-net.org/bulletin.html"/>
    <hyperlink ref="AP3320" r:id="rId13" display="http://cdsbib.u-strasbg.fr/cgi-bin/cdsbib?1990RMxAA..21..381G"/>
    <hyperlink ref="AP3323" r:id="rId14" display="http://cdsbib.u-strasbg.fr/cgi-bin/cdsbib?1990RMxAA..21..381G"/>
    <hyperlink ref="AP3321" r:id="rId15" display="http://cdsbib.u-strasbg.fr/cgi-bin/cdsbib?1990RMxAA..21..381G"/>
    <hyperlink ref="AP3305" r:id="rId16" display="http://cdsbib.u-strasbg.fr/cgi-bin/cdsbib?1990RMxAA..21..381G"/>
    <hyperlink ref="I2076" r:id="rId17" display="http://vsolj.cetus-net.org/bulletin.html"/>
    <hyperlink ref="AQ3534" r:id="rId18" display="http://cdsbib.u-strasbg.fr/cgi-bin/cdsbib?1990RMxAA..21..381G"/>
    <hyperlink ref="AQ235" r:id="rId19" display="http://cdsbib.u-strasbg.fr/cgi-bin/cdsbib?1990RMxAA..21..381G"/>
    <hyperlink ref="AQ353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2024-01-23T04:42:53Z</dcterms:modified>
</cp:coreProperties>
</file>