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676A46-EB97-49AB-98E4-1B14E2C40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6" i="1" l="1"/>
  <c r="F36" i="1" s="1"/>
  <c r="Q36" i="1"/>
  <c r="E34" i="1"/>
  <c r="F34" i="1" s="1"/>
  <c r="Q34" i="1"/>
  <c r="E35" i="1"/>
  <c r="F35" i="1" s="1"/>
  <c r="Q35" i="1"/>
  <c r="E38" i="1"/>
  <c r="F38" i="1" s="1"/>
  <c r="Q38" i="1"/>
  <c r="D11" i="1"/>
  <c r="D12" i="1"/>
  <c r="D13" i="1"/>
  <c r="E37" i="1"/>
  <c r="F37" i="1"/>
  <c r="G37" i="1" s="1"/>
  <c r="K37" i="1" s="1"/>
  <c r="D9" i="1"/>
  <c r="C9" i="1"/>
  <c r="Q37" i="1"/>
  <c r="E32" i="1"/>
  <c r="F32" i="1" s="1"/>
  <c r="G32" i="1" s="1"/>
  <c r="K32" i="1" s="1"/>
  <c r="F22" i="1"/>
  <c r="G22" i="1" s="1"/>
  <c r="K22" i="1" s="1"/>
  <c r="E24" i="1"/>
  <c r="F24" i="1" s="1"/>
  <c r="G24" i="1" s="1"/>
  <c r="K24" i="1" s="1"/>
  <c r="E26" i="1"/>
  <c r="F26" i="1"/>
  <c r="G26" i="1" s="1"/>
  <c r="K26" i="1" s="1"/>
  <c r="E27" i="1"/>
  <c r="F27" i="1"/>
  <c r="E28" i="1"/>
  <c r="F28" i="1" s="1"/>
  <c r="G28" i="1" s="1"/>
  <c r="K28" i="1" s="1"/>
  <c r="E29" i="1"/>
  <c r="F29" i="1"/>
  <c r="G29" i="1" s="1"/>
  <c r="K29" i="1" s="1"/>
  <c r="E30" i="1"/>
  <c r="F30" i="1"/>
  <c r="E31" i="1"/>
  <c r="F31" i="1" s="1"/>
  <c r="G31" i="1" s="1"/>
  <c r="K31" i="1" s="1"/>
  <c r="E33" i="1"/>
  <c r="F33" i="1"/>
  <c r="G33" i="1" s="1"/>
  <c r="K33" i="1" s="1"/>
  <c r="E25" i="1"/>
  <c r="F25" i="1"/>
  <c r="U25" i="1" s="1"/>
  <c r="Q32" i="1"/>
  <c r="E21" i="1"/>
  <c r="F21" i="1" s="1"/>
  <c r="G21" i="1" s="1"/>
  <c r="I21" i="1" s="1"/>
  <c r="E22" i="1"/>
  <c r="E23" i="1"/>
  <c r="F23" i="1"/>
  <c r="G23" i="1" s="1"/>
  <c r="K23" i="1" s="1"/>
  <c r="Q28" i="1"/>
  <c r="Q29" i="1"/>
  <c r="Q30" i="1"/>
  <c r="Q31" i="1"/>
  <c r="F16" i="1"/>
  <c r="F17" i="1" s="1"/>
  <c r="Q33" i="1"/>
  <c r="Q27" i="1"/>
  <c r="Q25" i="1"/>
  <c r="Q26" i="1"/>
  <c r="Q24" i="1"/>
  <c r="Q23" i="1"/>
  <c r="Q22" i="1"/>
  <c r="C17" i="1"/>
  <c r="Q21" i="1"/>
  <c r="G30" i="1"/>
  <c r="K30" i="1" s="1"/>
  <c r="G27" i="1"/>
  <c r="K27" i="1"/>
  <c r="P36" i="1" l="1"/>
  <c r="G36" i="1"/>
  <c r="K36" i="1" s="1"/>
  <c r="W16" i="1"/>
  <c r="W8" i="1"/>
  <c r="W9" i="1"/>
  <c r="W13" i="1"/>
  <c r="P25" i="1"/>
  <c r="T25" i="1" s="1"/>
  <c r="W14" i="1"/>
  <c r="P37" i="1"/>
  <c r="T37" i="1" s="1"/>
  <c r="W4" i="1"/>
  <c r="P22" i="1"/>
  <c r="T22" i="1" s="1"/>
  <c r="P26" i="1"/>
  <c r="T26" i="1" s="1"/>
  <c r="P29" i="1"/>
  <c r="T29" i="1" s="1"/>
  <c r="P21" i="1"/>
  <c r="T21" i="1" s="1"/>
  <c r="P27" i="1"/>
  <c r="T27" i="1" s="1"/>
  <c r="W5" i="1"/>
  <c r="W17" i="1"/>
  <c r="P31" i="1"/>
  <c r="T31" i="1" s="1"/>
  <c r="P33" i="1"/>
  <c r="T33" i="1" s="1"/>
  <c r="P23" i="1"/>
  <c r="T23" i="1" s="1"/>
  <c r="W12" i="1"/>
  <c r="P30" i="1"/>
  <c r="T30" i="1" s="1"/>
  <c r="W6" i="1"/>
  <c r="P28" i="1"/>
  <c r="T28" i="1" s="1"/>
  <c r="G38" i="1"/>
  <c r="K38" i="1" s="1"/>
  <c r="P38" i="1"/>
  <c r="G35" i="1"/>
  <c r="K35" i="1" s="1"/>
  <c r="P35" i="1"/>
  <c r="T35" i="1" s="1"/>
  <c r="G34" i="1"/>
  <c r="D15" i="1"/>
  <c r="P34" i="1"/>
  <c r="T34" i="1" s="1"/>
  <c r="D16" i="1"/>
  <c r="W7" i="1"/>
  <c r="W15" i="1"/>
  <c r="P24" i="1"/>
  <c r="T24" i="1" s="1"/>
  <c r="W2" i="1"/>
  <c r="W10" i="1"/>
  <c r="W3" i="1"/>
  <c r="W11" i="1"/>
  <c r="P32" i="1"/>
  <c r="T32" i="1" s="1"/>
  <c r="C12" i="1"/>
  <c r="C11" i="1"/>
  <c r="O23" i="1" l="1"/>
  <c r="O25" i="1"/>
  <c r="O26" i="1"/>
  <c r="O30" i="1"/>
  <c r="O24" i="1"/>
  <c r="O27" i="1"/>
  <c r="O28" i="1"/>
  <c r="O21" i="1"/>
  <c r="O29" i="1"/>
  <c r="O22" i="1"/>
  <c r="T36" i="1"/>
  <c r="O36" i="1"/>
  <c r="C16" i="1"/>
  <c r="D18" i="1" s="1"/>
  <c r="O34" i="1"/>
  <c r="O35" i="1"/>
  <c r="O38" i="1"/>
  <c r="O33" i="1"/>
  <c r="O31" i="1"/>
  <c r="C15" i="1"/>
  <c r="C18" i="1" s="1"/>
  <c r="O37" i="1"/>
  <c r="O32" i="1"/>
  <c r="K34" i="1"/>
  <c r="T38" i="1"/>
  <c r="E14" i="1" s="1"/>
  <c r="F18" i="1" l="1"/>
  <c r="F19" i="1" s="1"/>
</calcChain>
</file>

<file path=xl/sharedStrings.xml><?xml version="1.0" encoding="utf-8"?>
<sst xmlns="http://schemas.openxmlformats.org/spreadsheetml/2006/main" count="79" uniqueCount="62">
  <si>
    <t>IBVS 6244</t>
  </si>
  <si>
    <t>PE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</si>
  <si>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</si>
  <si>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</si>
  <si>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</si>
  <si>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</si>
  <si>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</si>
  <si>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</si>
  <si>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</si>
  <si>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</si>
  <si>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</si>
  <si>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</si>
  <si>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</si>
  <si>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</si>
  <si>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</si>
  <si>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</si>
  <si>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</si>
  <si>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</si>
  <si>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</si>
  <si>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</si>
  <si>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</si>
  <si>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</si>
  <si>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</si>
  <si>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</si>
  <si>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</si>
  <si>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</si>
  <si>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</si>
  <si>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</si>
  <si>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</si>
  <si>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</si>
  <si>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</si>
  <si>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</si>
  <si>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</si>
  <si>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</si>
  <si>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</si>
  <si>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</si>
  <si>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</si>
  <si>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</si>
  <si>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</si>
  <si>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</si>
  <si>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</si>
  <si>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Cep</t>
  </si>
  <si>
    <t>OEJV 0083</t>
  </si>
  <si>
    <t>not avail.</t>
  </si>
  <si>
    <t>IBVS 5966</t>
  </si>
  <si>
    <t>BAD</t>
  </si>
  <si>
    <t>Molnar B pc</t>
  </si>
  <si>
    <t>Molnar C pc</t>
  </si>
  <si>
    <t>IBVS 6018</t>
  </si>
  <si>
    <t>IBVS 6050</t>
  </si>
  <si>
    <t>IBVS 6092</t>
  </si>
  <si>
    <t>V0870 Cep / GSC 4267-0682</t>
  </si>
  <si>
    <t>Add cycle</t>
  </si>
  <si>
    <t>Old Cycle</t>
  </si>
  <si>
    <t>vis</t>
  </si>
  <si>
    <t>OEJV 0179</t>
  </si>
  <si>
    <t>IBVS 6234</t>
  </si>
  <si>
    <t>RHN 2021</t>
  </si>
  <si>
    <t>JBAV, 60</t>
  </si>
  <si>
    <t>VSB, 91</t>
  </si>
  <si>
    <t>V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</si>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</sst>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6" fillId="0" borderId="0" xfId="0" applyFont="1" applyAlignment="1"/>
    <xf numFmtId="0" fontId="32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33" fillId="0" borderId="12" xfId="0" applyFont="1" applyBorder="1" applyAlignment="1"/>
    <xf numFmtId="0" fontId="33" fillId="0" borderId="13" xfId="0" applyFont="1" applyBorder="1" applyAlignment="1"/>
    <xf numFmtId="11" fontId="0" fillId="0" borderId="0" xfId="0" applyNumberFormat="1" applyAlignment="1"/>
    <xf numFmtId="0" fontId="33" fillId="0" borderId="14" xfId="0" applyFont="1" applyBorder="1" applyAlignment="1"/>
    <xf numFmtId="0" fontId="13" fillId="0" borderId="0" xfId="0" applyFont="1" applyAlignment="1"/>
    <xf numFmtId="0" fontId="22" fillId="0" borderId="0" xfId="0" applyFont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166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2" fillId="0" borderId="0" xfId="41" applyFont="1" applyAlignment="1">
      <alignment horizontal="center" wrapText="1"/>
    </xf>
    <xf numFmtId="0" fontId="35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V0870 Cep - O-C Diagr.</a:t>
            </a:r>
          </a:p>
        </c:rich>
      </c:tx>
      <c:layout>
        <c:manualLayout>
          <c:xMode val="edge"/>
          <c:yMode val="edge"/>
          <c:x val="0.366917293233082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6-464D-A058-4DF9506277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6-464D-A058-4DF9506277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6-464D-A058-4DF9506277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-2.245299987407634E-2</c:v>
                </c:pt>
                <c:pt idx="2">
                  <c:v>-2.598849986679852E-2</c:v>
                </c:pt>
                <c:pt idx="3">
                  <c:v>-2.8336999872408342E-2</c:v>
                </c:pt>
                <c:pt idx="5">
                  <c:v>-2.8091379565012176E-2</c:v>
                </c:pt>
                <c:pt idx="6">
                  <c:v>-2.8744999872287735E-2</c:v>
                </c:pt>
                <c:pt idx="7">
                  <c:v>-2.9107499867677689E-2</c:v>
                </c:pt>
                <c:pt idx="8">
                  <c:v>-2.9694999866478611E-2</c:v>
                </c:pt>
                <c:pt idx="9">
                  <c:v>-2.8418499867257196E-2</c:v>
                </c:pt>
                <c:pt idx="10">
                  <c:v>-2.8955999870959204E-2</c:v>
                </c:pt>
                <c:pt idx="11">
                  <c:v>-3.128449986979831E-2</c:v>
                </c:pt>
                <c:pt idx="12">
                  <c:v>-3.1984999870473985E-2</c:v>
                </c:pt>
                <c:pt idx="13">
                  <c:v>-2.7181999874301255E-2</c:v>
                </c:pt>
                <c:pt idx="14">
                  <c:v>-2.6115499866136815E-2</c:v>
                </c:pt>
                <c:pt idx="15">
                  <c:v>7.4131000132183544E-2</c:v>
                </c:pt>
                <c:pt idx="16">
                  <c:v>-2.7903499867534265E-2</c:v>
                </c:pt>
                <c:pt idx="17">
                  <c:v>-2.7591999780270271E-2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C6-464D-A058-4DF9506277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C6-464D-A058-4DF9506277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C6-464D-A058-4DF9506277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C6-464D-A058-4DF9506277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-0.10920402801522602</c:v>
                </c:pt>
                <c:pt idx="1">
                  <c:v>-5.8969174568043618E-2</c:v>
                </c:pt>
                <c:pt idx="2">
                  <c:v>-5.2552094142291929E-2</c:v>
                </c:pt>
                <c:pt idx="3">
                  <c:v>-4.7868546723438293E-2</c:v>
                </c:pt>
                <c:pt idx="4">
                  <c:v>-4.7819661844718829E-2</c:v>
                </c:pt>
                <c:pt idx="5">
                  <c:v>-4.780274015593132E-2</c:v>
                </c:pt>
                <c:pt idx="6">
                  <c:v>-4.4393959959069959E-2</c:v>
                </c:pt>
                <c:pt idx="7">
                  <c:v>-3.9326854261032815E-2</c:v>
                </c:pt>
                <c:pt idx="8">
                  <c:v>-3.912943455851188E-2</c:v>
                </c:pt>
                <c:pt idx="9">
                  <c:v>-3.9127554370868831E-2</c:v>
                </c:pt>
                <c:pt idx="10">
                  <c:v>-3.4793721853623699E-2</c:v>
                </c:pt>
                <c:pt idx="11">
                  <c:v>-2.6650629171546189E-2</c:v>
                </c:pt>
                <c:pt idx="12">
                  <c:v>-2.6644988608617012E-2</c:v>
                </c:pt>
                <c:pt idx="13">
                  <c:v>-8.252993084238755E-3</c:v>
                </c:pt>
                <c:pt idx="14">
                  <c:v>-8.2511128965956915E-3</c:v>
                </c:pt>
                <c:pt idx="15">
                  <c:v>-8.0236101917858654E-3</c:v>
                </c:pt>
                <c:pt idx="16">
                  <c:v>-8.0104488782844763E-3</c:v>
                </c:pt>
                <c:pt idx="17">
                  <c:v>-6.259994182598913E-3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C6-464D-A058-4DF9506277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2.5444716462516226E-2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C6-464D-A058-4DF9506277CB}"/>
            </c:ext>
          </c:extLst>
        </c:ser>
        <c:ser>
          <c:idx val="9"/>
          <c:order val="9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12000</c:v>
                </c:pt>
                <c:pt idx="1">
                  <c:v>13000</c:v>
                </c:pt>
                <c:pt idx="2">
                  <c:v>14000</c:v>
                </c:pt>
                <c:pt idx="3">
                  <c:v>15000</c:v>
                </c:pt>
                <c:pt idx="4">
                  <c:v>16000</c:v>
                </c:pt>
                <c:pt idx="5">
                  <c:v>17000</c:v>
                </c:pt>
                <c:pt idx="6">
                  <c:v>18000</c:v>
                </c:pt>
                <c:pt idx="7">
                  <c:v>19000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23000</c:v>
                </c:pt>
                <c:pt idx="12">
                  <c:v>24000</c:v>
                </c:pt>
                <c:pt idx="13">
                  <c:v>25000</c:v>
                </c:pt>
                <c:pt idx="14">
                  <c:v>26000</c:v>
                </c:pt>
                <c:pt idx="15">
                  <c:v>27000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-2.2739525474113835E-2</c:v>
                </c:pt>
                <c:pt idx="1">
                  <c:v>-2.4073139950424267E-2</c:v>
                </c:pt>
                <c:pt idx="2">
                  <c:v>-2.5277504505441716E-2</c:v>
                </c:pt>
                <c:pt idx="3">
                  <c:v>-2.6352619139166186E-2</c:v>
                </c:pt>
                <c:pt idx="4">
                  <c:v>-2.7298483851597673E-2</c:v>
                </c:pt>
                <c:pt idx="5">
                  <c:v>-2.8115098642736182E-2</c:v>
                </c:pt>
                <c:pt idx="6">
                  <c:v>-2.88024635125817E-2</c:v>
                </c:pt>
                <c:pt idx="7">
                  <c:v>-2.9360578461134244E-2</c:v>
                </c:pt>
                <c:pt idx="8">
                  <c:v>-2.9789443488393807E-2</c:v>
                </c:pt>
                <c:pt idx="9">
                  <c:v>-3.0089058594360389E-2</c:v>
                </c:pt>
                <c:pt idx="10">
                  <c:v>-3.0259423779033984E-2</c:v>
                </c:pt>
                <c:pt idx="11">
                  <c:v>-3.0300539042414601E-2</c:v>
                </c:pt>
                <c:pt idx="12">
                  <c:v>-3.0212404384502241E-2</c:v>
                </c:pt>
                <c:pt idx="13">
                  <c:v>-2.9995019805296903E-2</c:v>
                </c:pt>
                <c:pt idx="14">
                  <c:v>-2.9648385304798575E-2</c:v>
                </c:pt>
                <c:pt idx="15">
                  <c:v>-2.9172500883007275E-2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C6-464D-A058-4DF95062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5696"/>
        <c:axId val="1"/>
      </c:scatterChart>
      <c:valAx>
        <c:axId val="81426569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0000000000000005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5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39849624060151"/>
          <c:y val="0.92441860465116277"/>
          <c:w val="0.83157894736842108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V0870 Cep - O-C Diagr.</a:t>
            </a:r>
          </a:p>
        </c:rich>
      </c:tx>
      <c:layout>
        <c:manualLayout>
          <c:xMode val="edge"/>
          <c:yMode val="edge"/>
          <c:x val="0.3663668392802250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53488372093023"/>
          <c:w val="0.8198210219316317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4-41B8-83E9-6350567E64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04-41B8-83E9-6350567E64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04-41B8-83E9-6350567E64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-2.245299987407634E-2</c:v>
                </c:pt>
                <c:pt idx="2">
                  <c:v>-2.598849986679852E-2</c:v>
                </c:pt>
                <c:pt idx="3">
                  <c:v>-2.8336999872408342E-2</c:v>
                </c:pt>
                <c:pt idx="5">
                  <c:v>-2.8091379565012176E-2</c:v>
                </c:pt>
                <c:pt idx="6">
                  <c:v>-2.8744999872287735E-2</c:v>
                </c:pt>
                <c:pt idx="7">
                  <c:v>-2.9107499867677689E-2</c:v>
                </c:pt>
                <c:pt idx="8">
                  <c:v>-2.9694999866478611E-2</c:v>
                </c:pt>
                <c:pt idx="9">
                  <c:v>-2.8418499867257196E-2</c:v>
                </c:pt>
                <c:pt idx="10">
                  <c:v>-2.8955999870959204E-2</c:v>
                </c:pt>
                <c:pt idx="11">
                  <c:v>-3.128449986979831E-2</c:v>
                </c:pt>
                <c:pt idx="12">
                  <c:v>-3.1984999870473985E-2</c:v>
                </c:pt>
                <c:pt idx="13">
                  <c:v>-2.7181999874301255E-2</c:v>
                </c:pt>
                <c:pt idx="14">
                  <c:v>-2.6115499866136815E-2</c:v>
                </c:pt>
                <c:pt idx="15">
                  <c:v>7.4131000132183544E-2</c:v>
                </c:pt>
                <c:pt idx="16">
                  <c:v>-2.7903499867534265E-2</c:v>
                </c:pt>
                <c:pt idx="17">
                  <c:v>-2.7591999780270271E-2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04-41B8-83E9-6350567E64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04-41B8-83E9-6350567E64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04-41B8-83E9-6350567E64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2.5999999999999999E-3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04-41B8-83E9-6350567E64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-0.10920402801522602</c:v>
                </c:pt>
                <c:pt idx="1">
                  <c:v>-5.8969174568043618E-2</c:v>
                </c:pt>
                <c:pt idx="2">
                  <c:v>-5.2552094142291929E-2</c:v>
                </c:pt>
                <c:pt idx="3">
                  <c:v>-4.7868546723438293E-2</c:v>
                </c:pt>
                <c:pt idx="4">
                  <c:v>-4.7819661844718829E-2</c:v>
                </c:pt>
                <c:pt idx="5">
                  <c:v>-4.780274015593132E-2</c:v>
                </c:pt>
                <c:pt idx="6">
                  <c:v>-4.4393959959069959E-2</c:v>
                </c:pt>
                <c:pt idx="7">
                  <c:v>-3.9326854261032815E-2</c:v>
                </c:pt>
                <c:pt idx="8">
                  <c:v>-3.912943455851188E-2</c:v>
                </c:pt>
                <c:pt idx="9">
                  <c:v>-3.9127554370868831E-2</c:v>
                </c:pt>
                <c:pt idx="10">
                  <c:v>-3.4793721853623699E-2</c:v>
                </c:pt>
                <c:pt idx="11">
                  <c:v>-2.6650629171546189E-2</c:v>
                </c:pt>
                <c:pt idx="12">
                  <c:v>-2.6644988608617012E-2</c:v>
                </c:pt>
                <c:pt idx="13">
                  <c:v>-8.252993084238755E-3</c:v>
                </c:pt>
                <c:pt idx="14">
                  <c:v>-8.2511128965956915E-3</c:v>
                </c:pt>
                <c:pt idx="15">
                  <c:v>-8.0236101917858654E-3</c:v>
                </c:pt>
                <c:pt idx="16">
                  <c:v>-8.0104488782844763E-3</c:v>
                </c:pt>
                <c:pt idx="17">
                  <c:v>-6.259994182598913E-3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04-41B8-83E9-6350567E64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26846</c:v>
                </c:pt>
                <c:pt idx="14">
                  <c:v>26846.5</c:v>
                </c:pt>
                <c:pt idx="15">
                  <c:v>26907</c:v>
                </c:pt>
                <c:pt idx="16">
                  <c:v>26910.5</c:v>
                </c:pt>
                <c:pt idx="17">
                  <c:v>27376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2.5444716462516226E-2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04-41B8-83E9-6350567E64C3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12000</c:v>
                </c:pt>
                <c:pt idx="1">
                  <c:v>13000</c:v>
                </c:pt>
                <c:pt idx="2">
                  <c:v>14000</c:v>
                </c:pt>
                <c:pt idx="3">
                  <c:v>15000</c:v>
                </c:pt>
                <c:pt idx="4">
                  <c:v>16000</c:v>
                </c:pt>
                <c:pt idx="5">
                  <c:v>17000</c:v>
                </c:pt>
                <c:pt idx="6">
                  <c:v>18000</c:v>
                </c:pt>
                <c:pt idx="7">
                  <c:v>19000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23000</c:v>
                </c:pt>
                <c:pt idx="12">
                  <c:v>24000</c:v>
                </c:pt>
                <c:pt idx="13">
                  <c:v>25000</c:v>
                </c:pt>
                <c:pt idx="14">
                  <c:v>26000</c:v>
                </c:pt>
                <c:pt idx="15">
                  <c:v>27000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-2.2739525474113835E-2</c:v>
                </c:pt>
                <c:pt idx="1">
                  <c:v>-2.4073139950424267E-2</c:v>
                </c:pt>
                <c:pt idx="2">
                  <c:v>-2.5277504505441716E-2</c:v>
                </c:pt>
                <c:pt idx="3">
                  <c:v>-2.6352619139166186E-2</c:v>
                </c:pt>
                <c:pt idx="4">
                  <c:v>-2.7298483851597673E-2</c:v>
                </c:pt>
                <c:pt idx="5">
                  <c:v>-2.8115098642736182E-2</c:v>
                </c:pt>
                <c:pt idx="6">
                  <c:v>-2.88024635125817E-2</c:v>
                </c:pt>
                <c:pt idx="7">
                  <c:v>-2.9360578461134244E-2</c:v>
                </c:pt>
                <c:pt idx="8">
                  <c:v>-2.9789443488393807E-2</c:v>
                </c:pt>
                <c:pt idx="9">
                  <c:v>-3.0089058594360389E-2</c:v>
                </c:pt>
                <c:pt idx="10">
                  <c:v>-3.0259423779033984E-2</c:v>
                </c:pt>
                <c:pt idx="11">
                  <c:v>-3.0300539042414601E-2</c:v>
                </c:pt>
                <c:pt idx="12">
                  <c:v>-3.0212404384502241E-2</c:v>
                </c:pt>
                <c:pt idx="13">
                  <c:v>-2.9995019805296903E-2</c:v>
                </c:pt>
                <c:pt idx="14">
                  <c:v>-2.9648385304798575E-2</c:v>
                </c:pt>
                <c:pt idx="15">
                  <c:v>-2.9172500883007275E-2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04-41B8-83E9-6350567E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7008"/>
        <c:axId val="1"/>
      </c:scatterChart>
      <c:valAx>
        <c:axId val="81426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7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6998494557547"/>
          <c:y val="0.92441860465116277"/>
          <c:w val="0.8033044067689737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17</xdr:col>
      <xdr:colOff>581025</xdr:colOff>
      <xdr:row>18</xdr:row>
      <xdr:rowOff>133350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9F31216-C75C-5D5D-5F2B-C318336ED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0</xdr:rowOff>
    </xdr:from>
    <xdr:to>
      <xdr:col>27</xdr:col>
      <xdr:colOff>257175</xdr:colOff>
      <xdr:row>19</xdr:row>
      <xdr:rowOff>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28406215-B008-0679-1B48-358B3C44B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23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</cols>
  <sheetData>
    <row r="1" spans="1:23" ht="21" thickBot="1" x14ac:dyDescent="0.35">
      <c r="A1" s="1" t="s">
        <v>51</v>
      </c>
      <c r="V1" s="4" t="s">
        <v>16</v>
      </c>
      <c r="W1" s="6" t="s">
        <v>27</v>
      </c>
    </row>
    <row r="2" spans="1:23" x14ac:dyDescent="0.2">
      <c r="A2" t="s">
        <v>29</v>
      </c>
      <c r="B2" t="s">
        <v>40</v>
      </c>
      <c r="C2" s="3"/>
      <c r="D2" s="3" t="s">
        <v>41</v>
      </c>
      <c r="V2" s="46">
        <v>12000</v>
      </c>
      <c r="W2" s="46">
        <f t="shared" ref="W2:W17" si="0">+D$11+D$12*V2+D$13*V2^2</f>
        <v>-2.2739525474113835E-2</v>
      </c>
    </row>
    <row r="3" spans="1:23" ht="13.5" thickBot="1" x14ac:dyDescent="0.25">
      <c r="V3" s="46">
        <v>13000</v>
      </c>
      <c r="W3" s="46">
        <f t="shared" si="0"/>
        <v>-2.4073139950424267E-2</v>
      </c>
    </row>
    <row r="4" spans="1:23" ht="14.25" thickTop="1" thickBot="1" x14ac:dyDescent="0.25">
      <c r="A4" s="5" t="s">
        <v>6</v>
      </c>
      <c r="C4" s="8" t="s">
        <v>43</v>
      </c>
      <c r="D4" s="9" t="s">
        <v>43</v>
      </c>
      <c r="V4" s="46">
        <v>14000</v>
      </c>
      <c r="W4" s="46">
        <f t="shared" si="0"/>
        <v>-2.5277504505441716E-2</v>
      </c>
    </row>
    <row r="5" spans="1:23" ht="13.5" thickTop="1" x14ac:dyDescent="0.2">
      <c r="A5" s="11" t="s">
        <v>34</v>
      </c>
      <c r="B5" s="13"/>
      <c r="C5" s="13">
        <v>-9.5</v>
      </c>
      <c r="D5" s="12" t="s">
        <v>35</v>
      </c>
      <c r="E5" s="12"/>
      <c r="V5" s="46">
        <v>15000</v>
      </c>
      <c r="W5" s="46">
        <f t="shared" si="0"/>
        <v>-2.6352619139166186E-2</v>
      </c>
    </row>
    <row r="6" spans="1:23" x14ac:dyDescent="0.2">
      <c r="A6" s="5" t="s">
        <v>7</v>
      </c>
      <c r="V6" s="46">
        <v>16000</v>
      </c>
      <c r="W6" s="46">
        <f t="shared" si="0"/>
        <v>-2.7298483851597673E-2</v>
      </c>
    </row>
    <row r="7" spans="1:23" x14ac:dyDescent="0.2">
      <c r="A7" t="s">
        <v>8</v>
      </c>
      <c r="C7">
        <v>51299.98499999987</v>
      </c>
      <c r="D7" s="28" t="s">
        <v>42</v>
      </c>
      <c r="V7" s="46">
        <v>17000</v>
      </c>
      <c r="W7" s="46">
        <f t="shared" si="0"/>
        <v>-2.8115098642736182E-2</v>
      </c>
    </row>
    <row r="8" spans="1:23" x14ac:dyDescent="0.2">
      <c r="A8" t="s">
        <v>9</v>
      </c>
      <c r="C8">
        <v>0.30106699999999997</v>
      </c>
      <c r="D8" s="28" t="s">
        <v>42</v>
      </c>
      <c r="V8" s="46">
        <v>18000</v>
      </c>
      <c r="W8" s="46">
        <f t="shared" si="0"/>
        <v>-2.88024635125817E-2</v>
      </c>
    </row>
    <row r="9" spans="1:23" x14ac:dyDescent="0.2">
      <c r="A9" s="26" t="s">
        <v>39</v>
      </c>
      <c r="B9" s="27">
        <v>31</v>
      </c>
      <c r="C9" s="24" t="str">
        <f>"F"&amp;B9</f>
        <v>F31</v>
      </c>
      <c r="D9" s="25" t="str">
        <f>"G"&amp;B9</f>
        <v>G31</v>
      </c>
      <c r="V9" s="46">
        <v>19000</v>
      </c>
      <c r="W9" s="46">
        <f t="shared" si="0"/>
        <v>-2.9360578461134244E-2</v>
      </c>
    </row>
    <row r="10" spans="1:23" ht="13.5" thickBot="1" x14ac:dyDescent="0.25">
      <c r="A10" s="12"/>
      <c r="B10" s="12"/>
      <c r="C10" s="4" t="s">
        <v>25</v>
      </c>
      <c r="D10" s="4" t="s">
        <v>26</v>
      </c>
      <c r="E10" s="12"/>
      <c r="V10" s="46">
        <v>20000</v>
      </c>
      <c r="W10" s="46">
        <f t="shared" si="0"/>
        <v>-2.9789443488393807E-2</v>
      </c>
    </row>
    <row r="11" spans="1:23" x14ac:dyDescent="0.2">
      <c r="A11" s="12" t="s">
        <v>21</v>
      </c>
      <c r="B11" s="12"/>
      <c r="C11" s="23">
        <f ca="1">INTERCEPT(INDIRECT($D$9):G991,INDIRECT($C$9):F991)</f>
        <v>-0.10920402801522602</v>
      </c>
      <c r="D11" s="15">
        <f>+E11*F11</f>
        <v>3.3453421024638415E-3</v>
      </c>
      <c r="E11" s="41">
        <v>3.3453421024638415E-3</v>
      </c>
      <c r="F11">
        <v>1</v>
      </c>
      <c r="V11" s="46">
        <v>21000</v>
      </c>
      <c r="W11" s="46">
        <f t="shared" si="0"/>
        <v>-3.0089058594360389E-2</v>
      </c>
    </row>
    <row r="12" spans="1:23" x14ac:dyDescent="0.2">
      <c r="A12" s="12" t="s">
        <v>22</v>
      </c>
      <c r="B12" s="12"/>
      <c r="C12" s="23">
        <f ca="1">SLOPE(INDIRECT($D$9):G991,INDIRECT($C$9):F991)</f>
        <v>3.7603752861129133E-6</v>
      </c>
      <c r="D12" s="15">
        <f>+E12*F12</f>
        <v>-2.9492384924726935E-6</v>
      </c>
      <c r="E12" s="42">
        <v>-2.9492384924726934E-2</v>
      </c>
      <c r="F12" s="43">
        <v>1E-4</v>
      </c>
      <c r="V12" s="46">
        <v>22000</v>
      </c>
      <c r="W12" s="46">
        <f t="shared" si="0"/>
        <v>-3.0259423779033984E-2</v>
      </c>
    </row>
    <row r="13" spans="1:23" ht="13.5" thickBot="1" x14ac:dyDescent="0.25">
      <c r="A13" s="12" t="s">
        <v>24</v>
      </c>
      <c r="B13" s="12"/>
      <c r="C13" s="3" t="s">
        <v>19</v>
      </c>
      <c r="D13" s="15">
        <f>+E13*F13</f>
        <v>6.4624960646490542E-11</v>
      </c>
      <c r="E13" s="44">
        <v>6.4624960646490542E-3</v>
      </c>
      <c r="F13" s="43">
        <v>1E-8</v>
      </c>
      <c r="V13" s="46">
        <v>23000</v>
      </c>
      <c r="W13" s="46">
        <f t="shared" si="0"/>
        <v>-3.0300539042414601E-2</v>
      </c>
    </row>
    <row r="14" spans="1:23" x14ac:dyDescent="0.2">
      <c r="A14" s="12"/>
      <c r="B14" s="12"/>
      <c r="C14" s="12"/>
      <c r="E14">
        <f>SUM(T21:T950)</f>
        <v>1.0711742981456893E-2</v>
      </c>
      <c r="V14" s="46">
        <v>24000</v>
      </c>
      <c r="W14" s="46">
        <f t="shared" si="0"/>
        <v>-3.0212404384502241E-2</v>
      </c>
    </row>
    <row r="15" spans="1:23" x14ac:dyDescent="0.2">
      <c r="A15" s="14" t="s">
        <v>23</v>
      </c>
      <c r="B15" s="12"/>
      <c r="C15" s="15">
        <f ca="1">(C7+C11)+(C8+C12)*INT(MAX(F21:F3532))</f>
        <v>59541.98893200569</v>
      </c>
      <c r="D15" s="25">
        <f>+C7+INT(MAX(F21:F1588))*C8+D11+D12*INT(MAX(F21:F4023))+D13*INT(MAX(F21:F4050)^2)</f>
        <v>59541.966231866936</v>
      </c>
      <c r="E15" s="16" t="s">
        <v>52</v>
      </c>
      <c r="F15" s="13">
        <v>1</v>
      </c>
      <c r="V15" s="46">
        <v>25000</v>
      </c>
      <c r="W15" s="46">
        <f t="shared" si="0"/>
        <v>-2.9995019805296903E-2</v>
      </c>
    </row>
    <row r="16" spans="1:23" x14ac:dyDescent="0.2">
      <c r="A16" s="18" t="s">
        <v>10</v>
      </c>
      <c r="B16" s="12"/>
      <c r="C16" s="19">
        <f ca="1">+C8+C12</f>
        <v>0.30107076037528607</v>
      </c>
      <c r="D16" s="25">
        <f>+C8+D12+2*D13*MAX(F21:F896)</f>
        <v>0.30106758910735282</v>
      </c>
      <c r="E16" s="16" t="s">
        <v>36</v>
      </c>
      <c r="F16" s="17">
        <f ca="1">NOW()+15018.5+$C$5/24</f>
        <v>60332.762795023147</v>
      </c>
      <c r="V16" s="46">
        <v>26000</v>
      </c>
      <c r="W16" s="46">
        <f t="shared" si="0"/>
        <v>-2.9648385304798575E-2</v>
      </c>
    </row>
    <row r="17" spans="1:23" ht="13.5" thickBot="1" x14ac:dyDescent="0.25">
      <c r="A17" s="16" t="s">
        <v>33</v>
      </c>
      <c r="B17" s="12"/>
      <c r="C17" s="12">
        <f>COUNT(C21:C2190)</f>
        <v>18</v>
      </c>
      <c r="E17" s="16" t="s">
        <v>53</v>
      </c>
      <c r="F17" s="17">
        <f ca="1">ROUND(2*(F16-$C$7)/$C$8,0)/2+F15</f>
        <v>30003.5</v>
      </c>
      <c r="V17" s="46">
        <v>27000</v>
      </c>
      <c r="W17" s="46">
        <f t="shared" si="0"/>
        <v>-2.9172500883007275E-2</v>
      </c>
    </row>
    <row r="18" spans="1:23" ht="14.25" thickTop="1" thickBot="1" x14ac:dyDescent="0.25">
      <c r="A18" s="18" t="s">
        <v>11</v>
      </c>
      <c r="B18" s="12"/>
      <c r="C18" s="21">
        <f ca="1">+C15</f>
        <v>59541.98893200569</v>
      </c>
      <c r="D18" s="22">
        <f ca="1">+C16</f>
        <v>0.30107076037528607</v>
      </c>
      <c r="E18" s="16" t="s">
        <v>37</v>
      </c>
      <c r="F18" s="25">
        <f ca="1">ROUND(2*(F16-$C$15)/$C$16,0)/2+F15</f>
        <v>2627.5</v>
      </c>
    </row>
    <row r="19" spans="1:23" ht="13.5" thickTop="1" x14ac:dyDescent="0.2">
      <c r="E19" s="16" t="s">
        <v>38</v>
      </c>
      <c r="F19" s="20">
        <f ca="1">+$C$15+$C$16*F18-15018.5-$C$5/24</f>
        <v>45314.948188225091</v>
      </c>
    </row>
    <row r="20" spans="1:23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54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33" t="s">
        <v>45</v>
      </c>
    </row>
    <row r="21" spans="1:23" x14ac:dyDescent="0.2">
      <c r="A21" s="29" t="s">
        <v>42</v>
      </c>
      <c r="B21" s="3"/>
      <c r="C21" s="10">
        <v>51299.98499999987</v>
      </c>
      <c r="D21" s="10" t="s">
        <v>19</v>
      </c>
      <c r="E21">
        <f t="shared" ref="E21:E38" si="1">+(C21-C$7)/C$8</f>
        <v>0</v>
      </c>
      <c r="F21">
        <f t="shared" ref="F21:F38" si="2">ROUND(2*E21,0)/2</f>
        <v>0</v>
      </c>
      <c r="G21">
        <f>+C21-(C$7+F21*C$8)</f>
        <v>0</v>
      </c>
      <c r="I21">
        <f>+G21</f>
        <v>0</v>
      </c>
      <c r="O21">
        <f t="shared" ref="O21:O30" ca="1" si="3">+C$11+C$12*$F21</f>
        <v>-0.10920402801522602</v>
      </c>
      <c r="P21" s="45">
        <f t="shared" ref="P21:P38" si="4">+D$11+D$12*F21+D$13*F21^2</f>
        <v>3.3453421024638415E-3</v>
      </c>
      <c r="Q21" s="2">
        <f t="shared" ref="Q21:Q38" si="5">+C21-15018.5</f>
        <v>36281.48499999987</v>
      </c>
      <c r="S21" s="3">
        <v>0.1</v>
      </c>
      <c r="T21">
        <f t="shared" ref="T21:T38" si="6">(P21-G21)^2*S21</f>
        <v>1.1191313782517195E-6</v>
      </c>
      <c r="U21" s="34"/>
    </row>
    <row r="22" spans="1:23" x14ac:dyDescent="0.2">
      <c r="A22" s="5" t="s">
        <v>44</v>
      </c>
      <c r="B22" s="3"/>
      <c r="C22" s="30">
        <v>55321.916599999997</v>
      </c>
      <c r="D22" s="31">
        <v>2.9999999999999997E-4</v>
      </c>
      <c r="E22">
        <f t="shared" si="1"/>
        <v>13358.925421916476</v>
      </c>
      <c r="F22">
        <f t="shared" si="2"/>
        <v>13359</v>
      </c>
      <c r="G22">
        <f>+C22-(C$7+F22*C$8)</f>
        <v>-2.245299987407634E-2</v>
      </c>
      <c r="K22">
        <f>+G22</f>
        <v>-2.245299987407634E-2</v>
      </c>
      <c r="O22">
        <f t="shared" ca="1" si="3"/>
        <v>-5.8969174568043618E-2</v>
      </c>
      <c r="P22" s="45">
        <f t="shared" si="4"/>
        <v>-2.4520378256994543E-2</v>
      </c>
      <c r="Q22" s="2">
        <f t="shared" si="5"/>
        <v>40303.416599999997</v>
      </c>
      <c r="S22" s="3">
        <v>1</v>
      </c>
      <c r="T22">
        <f t="shared" si="6"/>
        <v>4.2740533781574807E-6</v>
      </c>
      <c r="U22" s="34"/>
    </row>
    <row r="23" spans="1:23" x14ac:dyDescent="0.2">
      <c r="A23" s="46" t="s">
        <v>48</v>
      </c>
      <c r="B23" s="55"/>
      <c r="C23" s="52">
        <v>55835.683900000004</v>
      </c>
      <c r="D23" s="52">
        <v>2.9999999999999997E-4</v>
      </c>
      <c r="E23">
        <f t="shared" si="1"/>
        <v>15065.413678683264</v>
      </c>
      <c r="F23">
        <f t="shared" si="2"/>
        <v>15065.5</v>
      </c>
      <c r="G23">
        <f>+C23-(C$7+F23*C$8)</f>
        <v>-2.598849986679852E-2</v>
      </c>
      <c r="K23">
        <f>+G23</f>
        <v>-2.598849986679852E-2</v>
      </c>
      <c r="O23">
        <f t="shared" ca="1" si="3"/>
        <v>-5.2552094142291929E-2</v>
      </c>
      <c r="P23" s="45">
        <f t="shared" si="4"/>
        <v>-2.6418528955515379E-2</v>
      </c>
      <c r="Q23" s="2">
        <f t="shared" si="5"/>
        <v>40817.183900000004</v>
      </c>
      <c r="S23" s="3">
        <v>1</v>
      </c>
      <c r="T23">
        <f t="shared" si="6"/>
        <v>1.8492501714265192E-7</v>
      </c>
      <c r="U23" s="34"/>
    </row>
    <row r="24" spans="1:23" x14ac:dyDescent="0.2">
      <c r="A24" s="46" t="s">
        <v>49</v>
      </c>
      <c r="B24" s="55"/>
      <c r="C24" s="52">
        <v>56210.660499999998</v>
      </c>
      <c r="D24" s="52">
        <v>1E-4</v>
      </c>
      <c r="E24">
        <f t="shared" si="1"/>
        <v>16310.905878094009</v>
      </c>
      <c r="F24">
        <f t="shared" si="2"/>
        <v>16311</v>
      </c>
      <c r="G24">
        <f>+C24-(C$7+F24*C$8)</f>
        <v>-2.8336999872408342E-2</v>
      </c>
      <c r="K24">
        <f>+G24</f>
        <v>-2.8336999872408342E-2</v>
      </c>
      <c r="O24">
        <f t="shared" ca="1" si="3"/>
        <v>-4.7868546723438293E-2</v>
      </c>
      <c r="P24" s="45">
        <f t="shared" si="4"/>
        <v>-2.7566298823584114E-2</v>
      </c>
      <c r="Q24" s="2">
        <f t="shared" si="5"/>
        <v>41192.160499999998</v>
      </c>
      <c r="S24" s="3">
        <v>1</v>
      </c>
      <c r="T24">
        <f t="shared" si="6"/>
        <v>5.9398010665876515E-7</v>
      </c>
      <c r="U24" s="34"/>
    </row>
    <row r="25" spans="1:23" x14ac:dyDescent="0.2">
      <c r="A25" s="46" t="s">
        <v>46</v>
      </c>
      <c r="B25" s="55"/>
      <c r="C25" s="32">
        <v>56214.62815271633</v>
      </c>
      <c r="D25" s="52">
        <v>2.0000000000000001E-4</v>
      </c>
      <c r="E25">
        <f t="shared" si="1"/>
        <v>16324.084515129392</v>
      </c>
      <c r="F25">
        <f t="shared" si="2"/>
        <v>16324</v>
      </c>
      <c r="O25">
        <f t="shared" ca="1" si="3"/>
        <v>-4.7819661844718829E-2</v>
      </c>
      <c r="P25" s="45">
        <f t="shared" si="4"/>
        <v>-2.7577221461307186E-2</v>
      </c>
      <c r="Q25" s="2">
        <f t="shared" si="5"/>
        <v>41196.12815271633</v>
      </c>
      <c r="S25" s="3">
        <v>0</v>
      </c>
      <c r="T25">
        <f t="shared" si="6"/>
        <v>0</v>
      </c>
      <c r="U25" s="34">
        <f>+C25-(C$7+F25*C$8)</f>
        <v>2.5444716462516226E-2</v>
      </c>
    </row>
    <row r="26" spans="1:23" x14ac:dyDescent="0.2">
      <c r="A26" s="46" t="s">
        <v>47</v>
      </c>
      <c r="B26" s="55"/>
      <c r="C26" s="52">
        <v>56215.929418120308</v>
      </c>
      <c r="D26" s="52">
        <v>5.0000000000000001E-4</v>
      </c>
      <c r="E26">
        <f t="shared" si="1"/>
        <v>16328.406693926729</v>
      </c>
      <c r="F26">
        <f t="shared" si="2"/>
        <v>16328.5</v>
      </c>
      <c r="G26">
        <f t="shared" ref="G26:G38" si="7">+C26-(C$7+F26*C$8)</f>
        <v>-2.8091379565012176E-2</v>
      </c>
      <c r="K26">
        <f t="shared" ref="K26:K38" si="8">+G26</f>
        <v>-2.8091379565012176E-2</v>
      </c>
      <c r="O26">
        <f t="shared" ca="1" si="3"/>
        <v>-4.780274015593132E-2</v>
      </c>
      <c r="P26" s="45">
        <f t="shared" si="4"/>
        <v>-2.7580997285149518E-2</v>
      </c>
      <c r="Q26" s="2">
        <f t="shared" si="5"/>
        <v>41197.429418120308</v>
      </c>
      <c r="S26" s="3">
        <v>1</v>
      </c>
      <c r="T26">
        <f t="shared" si="6"/>
        <v>2.6049007159780411E-7</v>
      </c>
      <c r="U26" s="34"/>
    </row>
    <row r="27" spans="1:23" x14ac:dyDescent="0.2">
      <c r="A27" s="46" t="s">
        <v>50</v>
      </c>
      <c r="B27" s="55"/>
      <c r="C27" s="52">
        <v>56488.845999999998</v>
      </c>
      <c r="D27" s="52">
        <v>2.9999999999999997E-4</v>
      </c>
      <c r="E27">
        <f t="shared" si="1"/>
        <v>17234.90452291393</v>
      </c>
      <c r="F27">
        <f t="shared" si="2"/>
        <v>17235</v>
      </c>
      <c r="G27">
        <f t="shared" si="7"/>
        <v>-2.8744999872287735E-2</v>
      </c>
      <c r="K27">
        <f t="shared" si="8"/>
        <v>-2.8744999872287735E-2</v>
      </c>
      <c r="O27">
        <f t="shared" ca="1" si="3"/>
        <v>-4.4393959959069959E-2</v>
      </c>
      <c r="P27" s="45">
        <f t="shared" si="4"/>
        <v>-2.8288247339450102E-2</v>
      </c>
      <c r="Q27" s="2">
        <f t="shared" si="5"/>
        <v>41470.345999999998</v>
      </c>
      <c r="S27" s="3">
        <v>1</v>
      </c>
      <c r="T27">
        <f t="shared" si="6"/>
        <v>2.086228762535929E-7</v>
      </c>
      <c r="U27" s="34"/>
    </row>
    <row r="28" spans="1:23" x14ac:dyDescent="0.2">
      <c r="A28" s="36" t="s">
        <v>55</v>
      </c>
      <c r="B28" s="37" t="s">
        <v>3</v>
      </c>
      <c r="C28" s="38">
        <v>56894.53342</v>
      </c>
      <c r="D28" s="38">
        <v>4.0000000000000002E-4</v>
      </c>
      <c r="E28">
        <f t="shared" si="1"/>
        <v>18582.403318863013</v>
      </c>
      <c r="F28">
        <f t="shared" si="2"/>
        <v>18582.5</v>
      </c>
      <c r="G28">
        <f t="shared" si="7"/>
        <v>-2.9107499867677689E-2</v>
      </c>
      <c r="K28">
        <f t="shared" si="8"/>
        <v>-2.9107499867677689E-2</v>
      </c>
      <c r="O28">
        <f t="shared" ca="1" si="3"/>
        <v>-3.9326854261032815E-2</v>
      </c>
      <c r="P28" s="45">
        <f t="shared" si="4"/>
        <v>-2.9143281856636782E-2</v>
      </c>
      <c r="Q28" s="2">
        <f t="shared" si="5"/>
        <v>41876.03342</v>
      </c>
      <c r="S28" s="3">
        <v>1</v>
      </c>
      <c r="T28">
        <f t="shared" si="6"/>
        <v>1.28035073386871E-9</v>
      </c>
      <c r="U28" s="34"/>
    </row>
    <row r="29" spans="1:23" x14ac:dyDescent="0.2">
      <c r="A29" s="36" t="s">
        <v>55</v>
      </c>
      <c r="B29" s="37" t="s">
        <v>2</v>
      </c>
      <c r="C29" s="38">
        <v>56910.33885</v>
      </c>
      <c r="D29" s="38">
        <v>4.0000000000000002E-4</v>
      </c>
      <c r="E29">
        <f t="shared" si="1"/>
        <v>18634.901367470135</v>
      </c>
      <c r="F29">
        <f t="shared" si="2"/>
        <v>18635</v>
      </c>
      <c r="G29">
        <f t="shared" si="7"/>
        <v>-2.9694999866478611E-2</v>
      </c>
      <c r="K29">
        <f t="shared" si="8"/>
        <v>-2.9694999866478611E-2</v>
      </c>
      <c r="O29">
        <f t="shared" ca="1" si="3"/>
        <v>-3.912943455851188E-2</v>
      </c>
      <c r="P29" s="45">
        <f t="shared" si="4"/>
        <v>-2.9171844955166407E-2</v>
      </c>
      <c r="Q29" s="2">
        <f t="shared" si="5"/>
        <v>41891.83885</v>
      </c>
      <c r="S29" s="3">
        <v>1</v>
      </c>
      <c r="T29">
        <f t="shared" si="6"/>
        <v>2.7369106123008019E-7</v>
      </c>
      <c r="U29" s="34"/>
    </row>
    <row r="30" spans="1:23" x14ac:dyDescent="0.2">
      <c r="A30" s="36" t="s">
        <v>55</v>
      </c>
      <c r="B30" s="37" t="s">
        <v>3</v>
      </c>
      <c r="C30" s="38">
        <v>56910.490660000003</v>
      </c>
      <c r="D30" s="38">
        <v>2.9999999999999997E-4</v>
      </c>
      <c r="E30">
        <f t="shared" si="1"/>
        <v>18635.405607390163</v>
      </c>
      <c r="F30">
        <f t="shared" si="2"/>
        <v>18635.5</v>
      </c>
      <c r="G30">
        <f t="shared" si="7"/>
        <v>-2.8418499867257196E-2</v>
      </c>
      <c r="K30">
        <f t="shared" si="8"/>
        <v>-2.8418499867257196E-2</v>
      </c>
      <c r="O30">
        <f t="shared" ca="1" si="3"/>
        <v>-3.9127554370868831E-2</v>
      </c>
      <c r="P30" s="45">
        <f t="shared" si="4"/>
        <v>-2.917211527211476E-2</v>
      </c>
      <c r="Q30" s="2">
        <f t="shared" si="5"/>
        <v>41891.990660000003</v>
      </c>
      <c r="S30" s="3">
        <v>1</v>
      </c>
      <c r="T30">
        <f t="shared" si="6"/>
        <v>5.6793617843862907E-7</v>
      </c>
      <c r="U30" s="34"/>
    </row>
    <row r="31" spans="1:23" x14ac:dyDescent="0.2">
      <c r="A31" s="36" t="s">
        <v>55</v>
      </c>
      <c r="B31" s="37" t="s">
        <v>2</v>
      </c>
      <c r="C31" s="38">
        <v>57257.469839999998</v>
      </c>
      <c r="D31" s="38">
        <v>1E-4</v>
      </c>
      <c r="E31">
        <f t="shared" si="1"/>
        <v>19787.903822073255</v>
      </c>
      <c r="F31">
        <f t="shared" si="2"/>
        <v>19788</v>
      </c>
      <c r="G31">
        <f t="shared" si="7"/>
        <v>-2.8955999870959204E-2</v>
      </c>
      <c r="K31">
        <f t="shared" si="8"/>
        <v>-2.8955999870959204E-2</v>
      </c>
      <c r="O31">
        <f t="shared" ref="O31:O38" ca="1" si="9">+C$11+C$12*$F31</f>
        <v>-3.4793721853623699E-2</v>
      </c>
      <c r="P31" s="45">
        <f t="shared" si="4"/>
        <v>-2.9709320090040542E-2</v>
      </c>
      <c r="Q31" s="2">
        <f t="shared" si="5"/>
        <v>42238.969839999998</v>
      </c>
      <c r="S31" s="3">
        <v>1</v>
      </c>
      <c r="T31">
        <f t="shared" si="6"/>
        <v>5.6749135247675529E-7</v>
      </c>
      <c r="U31" s="34"/>
    </row>
    <row r="32" spans="1:23" x14ac:dyDescent="0.2">
      <c r="A32" s="35" t="s">
        <v>0</v>
      </c>
      <c r="B32" s="56" t="s">
        <v>2</v>
      </c>
      <c r="C32" s="39">
        <v>57909.428099999997</v>
      </c>
      <c r="D32" s="39">
        <v>1.5E-3</v>
      </c>
      <c r="E32">
        <f t="shared" si="1"/>
        <v>21953.396087914411</v>
      </c>
      <c r="F32">
        <f t="shared" si="2"/>
        <v>21953.5</v>
      </c>
      <c r="G32">
        <f t="shared" si="7"/>
        <v>-3.128449986979831E-2</v>
      </c>
      <c r="K32">
        <f t="shared" si="8"/>
        <v>-3.128449986979831E-2</v>
      </c>
      <c r="O32">
        <f t="shared" ca="1" si="9"/>
        <v>-2.6650629171546189E-2</v>
      </c>
      <c r="P32" s="45">
        <f t="shared" si="4"/>
        <v>-3.0254367123295576E-2</v>
      </c>
      <c r="Q32" s="2">
        <f t="shared" si="5"/>
        <v>42890.928099999997</v>
      </c>
      <c r="S32" s="3">
        <v>1</v>
      </c>
      <c r="T32">
        <f t="shared" si="6"/>
        <v>1.0611734754172663E-6</v>
      </c>
      <c r="U32" s="34"/>
    </row>
    <row r="33" spans="1:21" x14ac:dyDescent="0.2">
      <c r="A33" s="46" t="s">
        <v>56</v>
      </c>
      <c r="B33" s="55"/>
      <c r="C33" s="52">
        <v>57909.879000000001</v>
      </c>
      <c r="D33" s="52">
        <v>2.9999999999999997E-4</v>
      </c>
      <c r="E33">
        <f t="shared" si="1"/>
        <v>21954.893761189807</v>
      </c>
      <c r="F33">
        <f t="shared" si="2"/>
        <v>21955</v>
      </c>
      <c r="G33">
        <f t="shared" si="7"/>
        <v>-3.1984999870473985E-2</v>
      </c>
      <c r="K33">
        <f t="shared" si="8"/>
        <v>-3.1984999870473985E-2</v>
      </c>
      <c r="O33">
        <f t="shared" ca="1" si="9"/>
        <v>-2.6644988608617012E-2</v>
      </c>
      <c r="P33" s="45">
        <f t="shared" si="4"/>
        <v>-3.0254534603407459E-2</v>
      </c>
      <c r="Q33" s="2">
        <f t="shared" si="5"/>
        <v>42891.379000000001</v>
      </c>
      <c r="S33" s="3">
        <v>1</v>
      </c>
      <c r="T33">
        <f t="shared" si="6"/>
        <v>2.9945100405236217E-6</v>
      </c>
      <c r="U33" s="34"/>
    </row>
    <row r="34" spans="1:21" x14ac:dyDescent="0.2">
      <c r="A34" s="47" t="s">
        <v>58</v>
      </c>
      <c r="B34" s="48" t="s">
        <v>2</v>
      </c>
      <c r="C34" s="50">
        <v>59382.402499999997</v>
      </c>
      <c r="D34" s="51">
        <v>2.5999999999999999E-3</v>
      </c>
      <c r="E34">
        <f t="shared" si="1"/>
        <v>26845.909714449368</v>
      </c>
      <c r="F34">
        <f t="shared" si="2"/>
        <v>26846</v>
      </c>
      <c r="G34">
        <f t="shared" si="7"/>
        <v>-2.7181999874301255E-2</v>
      </c>
      <c r="K34">
        <f t="shared" si="8"/>
        <v>-2.7181999874301255E-2</v>
      </c>
      <c r="O34">
        <f t="shared" ca="1" si="9"/>
        <v>-8.252993084238755E-3</v>
      </c>
      <c r="P34" s="45">
        <f t="shared" si="4"/>
        <v>-2.9254206682335998E-2</v>
      </c>
      <c r="Q34" s="2">
        <f t="shared" si="5"/>
        <v>44363.902499999997</v>
      </c>
      <c r="S34" s="3">
        <v>1</v>
      </c>
      <c r="T34">
        <f t="shared" si="6"/>
        <v>4.29404105526554E-6</v>
      </c>
      <c r="U34" s="34"/>
    </row>
    <row r="35" spans="1:21" x14ac:dyDescent="0.2">
      <c r="A35" s="47" t="s">
        <v>58</v>
      </c>
      <c r="B35" s="48" t="s">
        <v>2</v>
      </c>
      <c r="C35" s="50">
        <v>59382.554100000001</v>
      </c>
      <c r="D35" s="51">
        <v>8.0000000000000004E-4</v>
      </c>
      <c r="E35">
        <f t="shared" si="1"/>
        <v>26846.413256850243</v>
      </c>
      <c r="F35">
        <f t="shared" si="2"/>
        <v>26846.5</v>
      </c>
      <c r="G35">
        <f t="shared" si="7"/>
        <v>-2.6115499866136815E-2</v>
      </c>
      <c r="K35">
        <f t="shared" si="8"/>
        <v>-2.6115499866136815E-2</v>
      </c>
      <c r="O35">
        <f t="shared" ca="1" si="9"/>
        <v>-8.2511128965956915E-3</v>
      </c>
      <c r="P35" s="45">
        <f t="shared" si="4"/>
        <v>-2.9253946363732478E-2</v>
      </c>
      <c r="Q35" s="2">
        <f t="shared" si="5"/>
        <v>44364.054100000001</v>
      </c>
      <c r="S35" s="3">
        <v>1</v>
      </c>
      <c r="T35">
        <f t="shared" si="6"/>
        <v>9.8498464182704794E-6</v>
      </c>
      <c r="U35" s="34"/>
    </row>
    <row r="36" spans="1:21" ht="12.75" customHeight="1" x14ac:dyDescent="0.2">
      <c r="A36" s="49" t="s">
        <v>61</v>
      </c>
      <c r="B36" s="57" t="s">
        <v>3</v>
      </c>
      <c r="C36" s="53">
        <v>59400.868900000001</v>
      </c>
      <c r="D36" s="54">
        <v>2.9999999999999997E-4</v>
      </c>
      <c r="E36">
        <f t="shared" si="1"/>
        <v>26907.246227584332</v>
      </c>
      <c r="F36">
        <f t="shared" si="2"/>
        <v>26907</v>
      </c>
      <c r="G36">
        <f t="shared" si="7"/>
        <v>7.4131000132183544E-2</v>
      </c>
      <c r="K36">
        <f t="shared" si="8"/>
        <v>7.4131000132183544E-2</v>
      </c>
      <c r="O36">
        <f t="shared" ca="1" si="9"/>
        <v>-8.0236101917858654E-3</v>
      </c>
      <c r="P36" s="45">
        <f t="shared" si="4"/>
        <v>-2.9222209314289364E-2</v>
      </c>
      <c r="Q36" s="2">
        <f t="shared" si="5"/>
        <v>44382.368900000001</v>
      </c>
      <c r="S36" s="3">
        <v>1</v>
      </c>
      <c r="T36">
        <f t="shared" si="6"/>
        <v>1.0681885902886499E-2</v>
      </c>
      <c r="U36" s="34"/>
    </row>
    <row r="37" spans="1:21" x14ac:dyDescent="0.2">
      <c r="A37" s="36" t="s">
        <v>57</v>
      </c>
      <c r="B37" s="55"/>
      <c r="C37" s="40">
        <v>59401.820599999999</v>
      </c>
      <c r="D37" s="40">
        <v>2.9999999999999997E-4</v>
      </c>
      <c r="E37">
        <f t="shared" si="1"/>
        <v>26910.407317972844</v>
      </c>
      <c r="F37">
        <f t="shared" si="2"/>
        <v>26910.5</v>
      </c>
      <c r="G37">
        <f t="shared" si="7"/>
        <v>-2.7903499867534265E-2</v>
      </c>
      <c r="K37">
        <f t="shared" si="8"/>
        <v>-2.7903499867534265E-2</v>
      </c>
      <c r="O37">
        <f t="shared" ca="1" si="9"/>
        <v>-8.0104488782844763E-3</v>
      </c>
      <c r="P37" s="45">
        <f t="shared" si="4"/>
        <v>-2.9220358810644435E-2</v>
      </c>
      <c r="Q37" s="2">
        <f t="shared" si="5"/>
        <v>44383.320599999999</v>
      </c>
      <c r="S37" s="3">
        <v>1</v>
      </c>
      <c r="T37">
        <f t="shared" si="6"/>
        <v>1.7341174760492352E-6</v>
      </c>
      <c r="U37" s="34"/>
    </row>
    <row r="38" spans="1:21" ht="15" customHeight="1" x14ac:dyDescent="0.2">
      <c r="A38" s="47" t="s">
        <v>59</v>
      </c>
      <c r="B38" s="48" t="s">
        <v>2</v>
      </c>
      <c r="C38" s="50">
        <v>59541.967600000091</v>
      </c>
      <c r="D38" s="51" t="s">
        <v>60</v>
      </c>
      <c r="E38">
        <f t="shared" si="1"/>
        <v>27375.908352626564</v>
      </c>
      <c r="F38">
        <f t="shared" si="2"/>
        <v>27376</v>
      </c>
      <c r="G38">
        <f t="shared" si="7"/>
        <v>-2.7591999780270271E-2</v>
      </c>
      <c r="K38">
        <f t="shared" si="8"/>
        <v>-2.7591999780270271E-2</v>
      </c>
      <c r="O38">
        <f t="shared" ca="1" si="9"/>
        <v>-6.259994182598913E-3</v>
      </c>
      <c r="P38" s="45">
        <f t="shared" si="4"/>
        <v>-2.8960132936774304E-2</v>
      </c>
      <c r="Q38" s="2">
        <f t="shared" si="5"/>
        <v>44523.467600000091</v>
      </c>
      <c r="S38" s="3">
        <v>1</v>
      </c>
      <c r="T38">
        <f t="shared" si="6"/>
        <v>1.8717883339256875E-6</v>
      </c>
      <c r="U38" s="34"/>
    </row>
    <row r="39" spans="1:21" x14ac:dyDescent="0.2">
      <c r="A39" s="46"/>
      <c r="B39" s="55"/>
      <c r="C39" s="52"/>
      <c r="D39" s="52"/>
      <c r="U39" s="34"/>
    </row>
    <row r="40" spans="1:21" x14ac:dyDescent="0.2">
      <c r="A40" s="46"/>
      <c r="B40" s="55"/>
      <c r="C40" s="52"/>
      <c r="D40" s="52"/>
      <c r="U40" s="34"/>
    </row>
    <row r="41" spans="1:21" x14ac:dyDescent="0.2">
      <c r="A41" s="46"/>
      <c r="B41" s="55"/>
      <c r="C41" s="52"/>
      <c r="D41" s="52"/>
      <c r="U41" s="34"/>
    </row>
    <row r="42" spans="1:21" x14ac:dyDescent="0.2">
      <c r="A42" s="46"/>
      <c r="B42" s="55"/>
      <c r="C42" s="52"/>
      <c r="D42" s="52"/>
      <c r="U42" s="34"/>
    </row>
    <row r="43" spans="1:21" x14ac:dyDescent="0.2">
      <c r="A43" s="46"/>
      <c r="B43" s="55"/>
      <c r="C43" s="52"/>
      <c r="D43" s="52"/>
    </row>
    <row r="44" spans="1:21" x14ac:dyDescent="0.2">
      <c r="A44" s="46"/>
      <c r="B44" s="55"/>
      <c r="C44" s="52"/>
      <c r="D44" s="52"/>
    </row>
    <row r="45" spans="1:21" x14ac:dyDescent="0.2">
      <c r="A45" s="46"/>
      <c r="B45" s="55"/>
      <c r="C45" s="52"/>
      <c r="D45" s="52"/>
    </row>
    <row r="46" spans="1:21" x14ac:dyDescent="0.2">
      <c r="A46" s="46"/>
      <c r="B46" s="55"/>
      <c r="C46" s="52"/>
      <c r="D46" s="52"/>
    </row>
    <row r="47" spans="1:21" x14ac:dyDescent="0.2">
      <c r="B47" s="3"/>
      <c r="C47" s="10"/>
      <c r="D47" s="10"/>
    </row>
    <row r="48" spans="1:21" x14ac:dyDescent="0.2">
      <c r="B48" s="3"/>
      <c r="C48" s="10"/>
      <c r="D48" s="10"/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C170" s="10"/>
      <c r="D170" s="10"/>
    </row>
    <row r="171" spans="2:4" x14ac:dyDescent="0.2">
      <c r="C171" s="10"/>
      <c r="D171" s="10"/>
    </row>
    <row r="172" spans="2:4" x14ac:dyDescent="0.2">
      <c r="C172" s="10"/>
      <c r="D172" s="10"/>
    </row>
    <row r="173" spans="2:4" x14ac:dyDescent="0.2">
      <c r="C173" s="10"/>
      <c r="D173" s="10"/>
    </row>
    <row r="174" spans="2:4" x14ac:dyDescent="0.2">
      <c r="C174" s="10"/>
      <c r="D174" s="10"/>
    </row>
    <row r="175" spans="2:4" x14ac:dyDescent="0.2">
      <c r="C175" s="10"/>
      <c r="D175" s="10"/>
    </row>
    <row r="176" spans="2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V48">
    <sortCondition ref="C21:C48"/>
  </sortState>
  <phoneticPr fontId="7" type="noConversion"/>
  <hyperlinks>
    <hyperlink ref="H1862" r:id="rId1" display="http://vsolj.cetus-net.org/bulletin.html" xr:uid="{00000000-0004-0000-0000-000000000000}"/>
    <hyperlink ref="H64909" r:id="rId2" display="http://vsolj.cetus-net.org/bulletin.html" xr:uid="{00000000-0004-0000-0000-000001000000}"/>
    <hyperlink ref="H64902" r:id="rId3" display="https://www.aavso.org/ejaavso" xr:uid="{00000000-0004-0000-0000-000002000000}"/>
    <hyperlink ref="AP1053" r:id="rId4" display="http://cdsbib.u-strasbg.fr/cgi-bin/cdsbib?1990RMxAA..21..381G" xr:uid="{00000000-0004-0000-0000-000003000000}"/>
    <hyperlink ref="AP1057" r:id="rId5" display="http://cdsbib.u-strasbg.fr/cgi-bin/cdsbib?1990RMxAA..21..381G" xr:uid="{00000000-0004-0000-0000-000004000000}"/>
    <hyperlink ref="AP1056" r:id="rId6" display="http://cdsbib.u-strasbg.fr/cgi-bin/cdsbib?1990RMxAA..21..381G" xr:uid="{00000000-0004-0000-0000-000005000000}"/>
    <hyperlink ref="AP1037" r:id="rId7" display="http://cdsbib.u-strasbg.fr/cgi-bin/cdsbib?1990RMxAA..21..381G" xr:uid="{00000000-0004-0000-0000-000006000000}"/>
    <hyperlink ref="I64909" r:id="rId8" display="http://vsolj.cetus-net.org/bulletin.html" xr:uid="{00000000-0004-0000-0000-000007000000}"/>
    <hyperlink ref="AQ1193" r:id="rId9" display="http://cdsbib.u-strasbg.fr/cgi-bin/cdsbib?1990RMxAA..21..381G" xr:uid="{00000000-0004-0000-0000-000008000000}"/>
    <hyperlink ref="AQ55959" r:id="rId10" display="http://cdsbib.u-strasbg.fr/cgi-bin/cdsbib?1990RMxAA..21..381G" xr:uid="{00000000-0004-0000-0000-000009000000}"/>
    <hyperlink ref="AQ1194" r:id="rId11" display="http://cdsbib.u-strasbg.fr/cgi-bin/cdsbib?1990RMxAA..21..381G" xr:uid="{00000000-0004-0000-0000-00000A000000}"/>
    <hyperlink ref="H64906" r:id="rId12" display="https://www.aavso.org/ejaavso" xr:uid="{00000000-0004-0000-0000-00000B000000}"/>
    <hyperlink ref="H2079" r:id="rId13" display="http://vsolj.cetus-net.org/bulletin.html" xr:uid="{00000000-0004-0000-0000-00000C000000}"/>
    <hyperlink ref="AP3323" r:id="rId14" display="http://cdsbib.u-strasbg.fr/cgi-bin/cdsbib?1990RMxAA..21..381G" xr:uid="{00000000-0004-0000-0000-00000D000000}"/>
    <hyperlink ref="AP3326" r:id="rId15" display="http://cdsbib.u-strasbg.fr/cgi-bin/cdsbib?1990RMxAA..21..381G" xr:uid="{00000000-0004-0000-0000-00000E000000}"/>
    <hyperlink ref="AP3324" r:id="rId16" display="http://cdsbib.u-strasbg.fr/cgi-bin/cdsbib?1990RMxAA..21..381G" xr:uid="{00000000-0004-0000-0000-00000F000000}"/>
    <hyperlink ref="AP3308" r:id="rId17" display="http://cdsbib.u-strasbg.fr/cgi-bin/cdsbib?1990RMxAA..21..381G" xr:uid="{00000000-0004-0000-0000-000010000000}"/>
    <hyperlink ref="I2079" r:id="rId18" display="http://vsolj.cetus-net.org/bulletin.html" xr:uid="{00000000-0004-0000-0000-000011000000}"/>
    <hyperlink ref="AQ3537" r:id="rId19" display="http://cdsbib.u-strasbg.fr/cgi-bin/cdsbib?1990RMxAA..21..381G" xr:uid="{00000000-0004-0000-0000-000012000000}"/>
    <hyperlink ref="AQ238" r:id="rId20" display="http://cdsbib.u-strasbg.fr/cgi-bin/cdsbib?1990RMxAA..21..381G" xr:uid="{00000000-0004-0000-0000-000013000000}"/>
    <hyperlink ref="AQ354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2024-01-23T05:18:25Z</dcterms:modified>
</cp:coreProperties>
</file>