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BB16E75-B241-4F99-90ED-2AF2F5BB5156}" xr6:coauthVersionLast="47" xr6:coauthVersionMax="47" xr10:uidLastSave="{00000000-0000-0000-0000-000000000000}"/>
  <bookViews>
    <workbookView xWindow="-120" yWindow="-120" windowWidth="29040" windowHeight="15840"/>
  </bookViews>
  <sheets>
    <sheet name="Ac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J23" i="1"/>
  <c r="Q22" i="1"/>
  <c r="Q23" i="1"/>
  <c r="F11" i="1"/>
  <c r="C21" i="1"/>
  <c r="E21" i="1"/>
  <c r="F21" i="1"/>
  <c r="A21" i="1"/>
  <c r="H20" i="1"/>
  <c r="G11" i="1"/>
  <c r="E14" i="1"/>
  <c r="C17" i="1"/>
  <c r="G21" i="1"/>
  <c r="Q21" i="1"/>
  <c r="H21" i="1"/>
  <c r="C12" i="1"/>
  <c r="C11" i="1"/>
  <c r="O22" i="1" l="1"/>
  <c r="S22" i="1" s="1"/>
  <c r="O23" i="1"/>
  <c r="S23" i="1" s="1"/>
  <c r="C15" i="1"/>
  <c r="O21" i="1"/>
  <c r="S21" i="1" s="1"/>
  <c r="C16" i="1"/>
  <c r="D18" i="1" s="1"/>
  <c r="E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<sst xmlns="http://schemas.openxmlformats.org/spreadsheetml/2006/main" count="58" uniqueCount="54">
  <si>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</si>
  <si>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</si>
  <si>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</si>
  <si>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</si>
  <si>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</si>
  <si>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</si>
  <si>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</si>
  <si>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</si>
  <si>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</si>
  <si>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</si>
  <si>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</si>
  <si>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</si>
  <si>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</si>
  <si>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</si>
  <si>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</si>
  <si>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</si>
  <si>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</si>
  <si>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</si>
  <si>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</si>
  <si>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</si>
  <si>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</si>
  <si>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</si>
  <si>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</si>
  <si>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</si>
  <si>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</si>
  <si>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</si>
  <si>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</si>
  <si>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</si>
  <si>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</si>
  <si>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</si>
  <si>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</si>
  <si>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</si>
  <si>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</si>
  <si>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</si>
  <si>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</si>
  <si>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</si>
  <si>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</si>
  <si>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</si>
  <si>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</si>
  <si>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</si>
  <si>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</si>
  <si>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G5276-0366</t>
  </si>
  <si>
    <t>OEJV 0155</t>
  </si>
  <si>
    <t>II</t>
  </si>
  <si>
    <t>0,0100</t>
  </si>
  <si>
    <t>IBVS 6011</t>
  </si>
  <si>
    <t>I</t>
  </si>
  <si>
    <t>G5276-0366_Cet.xls</t>
  </si>
  <si>
    <t>EC</t>
  </si>
  <si>
    <t>Cet</t>
  </si>
  <si>
    <t>VSX</t>
  </si>
  <si>
    <t>OEJV</t>
  </si>
  <si>
    <t>CCD</t>
  </si>
  <si>
    <t>ASAS J012513-1144.3 Cet / GSC 5276-0366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</si>
</sst>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5276-0366 -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6148.5</c:v>
                </c:pt>
                <c:pt idx="2">
                  <c:v>11399.5</c:v>
                </c:pt>
              </c:numCache>
            </c:numRef>
          </c:xVal>
          <c:yVal>
            <c:numRef>
              <c:f>Acive!$H$21:$H$999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4D-49A0-8D30-B40F87CE250F}"/>
            </c:ext>
          </c:extLst>
        </c:ser>
        <c:ser>
          <c:idx val="1"/>
          <c:order val="1"/>
          <c:tx>
            <c:strRef>
              <c:f>Acive!$I$20:$I$20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6148.5</c:v>
                </c:pt>
                <c:pt idx="2">
                  <c:v>11399.5</c:v>
                </c:pt>
              </c:numCache>
            </c:numRef>
          </c:xVal>
          <c:yVal>
            <c:numRef>
              <c:f>Acive!$I$21:$I$999</c:f>
              <c:numCache>
                <c:formatCode>General</c:formatCode>
                <c:ptCount val="979"/>
                <c:pt idx="1">
                  <c:v>-2.1679999998013955E-2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4D-49A0-8D30-B40F87CE250F}"/>
            </c:ext>
          </c:extLst>
        </c:ser>
        <c:ser>
          <c:idx val="3"/>
          <c:order val="2"/>
          <c:tx>
            <c:strRef>
              <c:f>Acive!$J$20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6148.5</c:v>
                </c:pt>
                <c:pt idx="2">
                  <c:v>11399.5</c:v>
                </c:pt>
              </c:numCache>
            </c:numRef>
          </c:xVal>
          <c:yVal>
            <c:numRef>
              <c:f>Acive!$J$21:$J$999</c:f>
              <c:numCache>
                <c:formatCode>General</c:formatCode>
                <c:ptCount val="979"/>
                <c:pt idx="2">
                  <c:v>-4.5160000001487788E-2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4D-49A0-8D30-B40F87CE250F}"/>
            </c:ext>
          </c:extLst>
        </c:ser>
        <c:ser>
          <c:idx val="4"/>
          <c:order val="3"/>
          <c:tx>
            <c:strRef>
              <c:f>Acive!$K$20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6148.5</c:v>
                </c:pt>
                <c:pt idx="2">
                  <c:v>11399.5</c:v>
                </c:pt>
              </c:numCache>
            </c:numRef>
          </c:xVal>
          <c:yVal>
            <c:numRef>
              <c:f>Acive!$K$21:$K$999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4D-49A0-8D30-B40F87CE250F}"/>
            </c:ext>
          </c:extLst>
        </c:ser>
        <c:ser>
          <c:idx val="2"/>
          <c:order val="4"/>
          <c:tx>
            <c:strRef>
              <c:f>Acive!$L$20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6148.5</c:v>
                </c:pt>
                <c:pt idx="2">
                  <c:v>11399.5</c:v>
                </c:pt>
              </c:numCache>
            </c:numRef>
          </c:xVal>
          <c:yVal>
            <c:numRef>
              <c:f>Acive!$L$21:$L$999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4D-49A0-8D30-B40F87CE250F}"/>
            </c:ext>
          </c:extLst>
        </c:ser>
        <c:ser>
          <c:idx val="5"/>
          <c:order val="5"/>
          <c:tx>
            <c:strRef>
              <c:f>Acive!$M$20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6148.5</c:v>
                </c:pt>
                <c:pt idx="2">
                  <c:v>11399.5</c:v>
                </c:pt>
              </c:numCache>
            </c:numRef>
          </c:xVal>
          <c:yVal>
            <c:numRef>
              <c:f>Acive!$M$21:$M$999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4D-49A0-8D30-B40F87CE250F}"/>
            </c:ext>
          </c:extLst>
        </c:ser>
        <c:ser>
          <c:idx val="6"/>
          <c:order val="6"/>
          <c:tx>
            <c:strRef>
              <c:f>Acive!$N$20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6148.5</c:v>
                </c:pt>
                <c:pt idx="2">
                  <c:v>11399.5</c:v>
                </c:pt>
              </c:numCache>
            </c:numRef>
          </c:xVal>
          <c:yVal>
            <c:numRef>
              <c:f>Acive!$N$21:$N$999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4D-49A0-8D30-B40F87CE250F}"/>
            </c:ext>
          </c:extLst>
        </c:ser>
        <c:ser>
          <c:idx val="7"/>
          <c:order val="7"/>
          <c:tx>
            <c:strRef>
              <c:f>Acive!$O$20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6148.5</c:v>
                </c:pt>
                <c:pt idx="2">
                  <c:v>11399.5</c:v>
                </c:pt>
              </c:numCache>
            </c:numRef>
          </c:xVal>
          <c:yVal>
            <c:numRef>
              <c:f>Acive!$O$21:$O$999</c:f>
              <c:numCache>
                <c:formatCode>General</c:formatCode>
                <c:ptCount val="979"/>
                <c:pt idx="0">
                  <c:v>8.2061571224649812E-4</c:v>
                </c:pt>
                <c:pt idx="1">
                  <c:v>-2.3461490916268393E-2</c:v>
                </c:pt>
                <c:pt idx="2">
                  <c:v>-4.4199124795479855E-2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4D-49A0-8D30-B40F87CE250F}"/>
            </c:ext>
          </c:extLst>
        </c:ser>
        <c:ser>
          <c:idx val="8"/>
          <c:order val="8"/>
          <c:tx>
            <c:strRef>
              <c:f>Acive!$R$20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6148.5</c:v>
                </c:pt>
                <c:pt idx="2">
                  <c:v>11399.5</c:v>
                </c:pt>
              </c:numCache>
            </c:numRef>
          </c:xVal>
          <c:yVal>
            <c:numRef>
              <c:f>Acive!$R$21:$R$999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84D-49A0-8D30-B40F87CE2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977328"/>
        <c:axId val="1"/>
      </c:scatterChart>
      <c:valAx>
        <c:axId val="505977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5977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20E4F9F-0206-BAED-757C-9D95EE1B28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8" t="s">
        <v>53</v>
      </c>
      <c r="E1" t="s">
        <v>47</v>
      </c>
    </row>
    <row r="2" spans="1:7" x14ac:dyDescent="0.2">
      <c r="A2" t="s">
        <v>23</v>
      </c>
      <c r="B2" t="s">
        <v>48</v>
      </c>
      <c r="C2" s="30" t="s">
        <v>40</v>
      </c>
      <c r="D2" s="2" t="s">
        <v>49</v>
      </c>
      <c r="E2" s="31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39</v>
      </c>
      <c r="D4" s="28" t="s">
        <v>39</v>
      </c>
    </row>
    <row r="6" spans="1:7" x14ac:dyDescent="0.2">
      <c r="A6" s="4" t="s">
        <v>1</v>
      </c>
    </row>
    <row r="7" spans="1:7" x14ac:dyDescent="0.2">
      <c r="A7" t="s">
        <v>2</v>
      </c>
      <c r="C7" s="2">
        <v>51870.07</v>
      </c>
      <c r="D7" s="29" t="s">
        <v>50</v>
      </c>
    </row>
    <row r="8" spans="1:7" x14ac:dyDescent="0.2">
      <c r="A8" t="s">
        <v>3</v>
      </c>
      <c r="C8" s="2">
        <v>0.35288000000000003</v>
      </c>
      <c r="D8" s="29" t="s">
        <v>50</v>
      </c>
    </row>
    <row r="9" spans="1:7" x14ac:dyDescent="0.2">
      <c r="A9" s="8" t="s">
        <v>29</v>
      </c>
      <c r="B9" s="9"/>
      <c r="C9" s="37">
        <v>-9.5</v>
      </c>
      <c r="D9" s="9" t="s">
        <v>30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8.2061571224649812E-4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-3.9492732582767975E-6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36</v>
      </c>
      <c r="E13" s="10">
        <v>1</v>
      </c>
    </row>
    <row r="14" spans="1:7" x14ac:dyDescent="0.2">
      <c r="A14" s="9"/>
      <c r="B14" s="9"/>
      <c r="C14" s="9"/>
      <c r="D14" s="13" t="s">
        <v>31</v>
      </c>
      <c r="E14" s="14">
        <f ca="1">NOW()+15018.5+$C$9/24</f>
        <v>60334.839989583328</v>
      </c>
    </row>
    <row r="15" spans="1:7" x14ac:dyDescent="0.2">
      <c r="A15" s="11" t="s">
        <v>17</v>
      </c>
      <c r="B15" s="9"/>
      <c r="C15" s="12">
        <f ca="1">(C7+C11)+(C8+C12)*INT(MAX(F21:F3533))</f>
        <v>55892.504922849846</v>
      </c>
      <c r="D15" s="13" t="s">
        <v>37</v>
      </c>
      <c r="E15" s="14">
        <f ca="1">ROUND(2*(E14-$C$7)/$C$8,0)/2+E13</f>
        <v>23988.5</v>
      </c>
    </row>
    <row r="16" spans="1:7" x14ac:dyDescent="0.2">
      <c r="A16" s="15" t="s">
        <v>4</v>
      </c>
      <c r="B16" s="9"/>
      <c r="C16" s="16">
        <f ca="1">+C8+C12</f>
        <v>0.35287605072674177</v>
      </c>
      <c r="D16" s="13" t="s">
        <v>38</v>
      </c>
      <c r="E16" s="23">
        <f ca="1">ROUND(2*(E14-$C$15)/$C$16,0)/2+E13</f>
        <v>12590</v>
      </c>
    </row>
    <row r="17" spans="1:19" ht="13.5" thickBot="1" x14ac:dyDescent="0.25">
      <c r="A17" s="13" t="s">
        <v>28</v>
      </c>
      <c r="B17" s="9"/>
      <c r="C17" s="9">
        <f>COUNT(C21:C2191)</f>
        <v>3</v>
      </c>
      <c r="D17" s="13" t="s">
        <v>32</v>
      </c>
      <c r="E17" s="17">
        <f ca="1">+$C$15+$C$16*E16-15018.5-$C$9/24</f>
        <v>45317.110234832864</v>
      </c>
    </row>
    <row r="18" spans="1:19" ht="14.25" thickTop="1" thickBot="1" x14ac:dyDescent="0.25">
      <c r="A18" s="15" t="s">
        <v>5</v>
      </c>
      <c r="B18" s="9"/>
      <c r="C18" s="18">
        <f ca="1">+C15</f>
        <v>55892.504922849846</v>
      </c>
      <c r="D18" s="19">
        <f ca="1">+C16</f>
        <v>0.35287605072674177</v>
      </c>
      <c r="E18" s="20" t="s">
        <v>33</v>
      </c>
    </row>
    <row r="19" spans="1:19" ht="13.5" thickTop="1" x14ac:dyDescent="0.2">
      <c r="A19" s="24" t="s">
        <v>34</v>
      </c>
      <c r="E19" s="25">
        <v>21</v>
      </c>
      <c r="S19">
        <f ca="1">SQRT(SUM(S21:S50)/(COUNT(S21:S50)-1))</f>
        <v>1.5444094665161916E-3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51</v>
      </c>
      <c r="J20" s="6" t="s">
        <v>27</v>
      </c>
      <c r="K20" s="6" t="s">
        <v>52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R20" s="26" t="s">
        <v>35</v>
      </c>
    </row>
    <row r="21" spans="1:19" x14ac:dyDescent="0.2">
      <c r="A21" t="str">
        <f>D7</f>
        <v>VSX</v>
      </c>
      <c r="C21" s="7">
        <f>C$7</f>
        <v>51870.07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8.2061571224649812E-4</v>
      </c>
      <c r="Q21" s="1">
        <f>+C21-15018.5</f>
        <v>36851.57</v>
      </c>
      <c r="S21">
        <f ca="1">+(O21-G21)^2</f>
        <v>6.7341014718582743E-7</v>
      </c>
    </row>
    <row r="22" spans="1:19" x14ac:dyDescent="0.2">
      <c r="A22" s="32" t="s">
        <v>42</v>
      </c>
      <c r="B22" s="33" t="s">
        <v>43</v>
      </c>
      <c r="C22" s="34">
        <v>54039.731</v>
      </c>
      <c r="D22" s="32" t="s">
        <v>44</v>
      </c>
      <c r="E22">
        <f>+(C22-C$7)/C$8</f>
        <v>6148.4385626841986</v>
      </c>
      <c r="F22">
        <f>ROUND(2*E22,0)/2</f>
        <v>6148.5</v>
      </c>
      <c r="G22">
        <f>+C22-(C$7+F22*C$8)</f>
        <v>-2.1679999998013955E-2</v>
      </c>
      <c r="I22">
        <f>+G22</f>
        <v>-2.1679999998013955E-2</v>
      </c>
      <c r="O22">
        <f ca="1">+C$11+C$12*$F22</f>
        <v>-2.3461490916268393E-2</v>
      </c>
      <c r="Q22" s="1">
        <f>+C22-15018.5</f>
        <v>39021.231</v>
      </c>
      <c r="S22">
        <f ca="1">+(O22-G22)^2</f>
        <v>3.1737098918230405E-6</v>
      </c>
    </row>
    <row r="23" spans="1:19" x14ac:dyDescent="0.2">
      <c r="A23" s="35" t="s">
        <v>45</v>
      </c>
      <c r="B23" s="36" t="s">
        <v>46</v>
      </c>
      <c r="C23" s="35">
        <v>55892.680399999997</v>
      </c>
      <c r="D23" s="35">
        <v>2.9999999999999997E-4</v>
      </c>
      <c r="E23">
        <f>+(C23-C$7)/C$8</f>
        <v>11399.372024484237</v>
      </c>
      <c r="F23">
        <f>ROUND(2*E23,0)/2</f>
        <v>11399.5</v>
      </c>
      <c r="G23">
        <f>+C23-(C$7+F23*C$8)</f>
        <v>-4.5160000001487788E-2</v>
      </c>
      <c r="J23">
        <f>+G23</f>
        <v>-4.5160000001487788E-2</v>
      </c>
      <c r="O23">
        <f ca="1">+C$11+C$12*$F23</f>
        <v>-4.4199124795479855E-2</v>
      </c>
      <c r="Q23" s="1">
        <f>+C23-15018.5</f>
        <v>40874.180399999997</v>
      </c>
      <c r="S23">
        <f ca="1">+(O23-G23)^2</f>
        <v>9.2328116152078738E-7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2024-01-25T07:09:35Z</dcterms:modified>
</cp:coreProperties>
</file>