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53DF9A1-8311-4630-9B99-C5D4A57A50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K25" i="1" s="1"/>
  <c r="Q25" i="1"/>
  <c r="E23" i="1"/>
  <c r="F23" i="1"/>
  <c r="G23" i="1" s="1"/>
  <c r="K23" i="1" s="1"/>
  <c r="Q23" i="1"/>
  <c r="Q24" i="1"/>
  <c r="E22" i="1"/>
  <c r="F22" i="1"/>
  <c r="G22" i="1" s="1"/>
  <c r="K22" i="1" s="1"/>
  <c r="Q22" i="1"/>
  <c r="F16" i="1"/>
  <c r="F17" i="1" s="1"/>
  <c r="C17" i="1"/>
  <c r="Q21" i="1"/>
  <c r="E21" i="1"/>
  <c r="F21" i="1" s="1"/>
  <c r="G21" i="1" s="1"/>
  <c r="I21" i="1" s="1"/>
  <c r="E24" i="1"/>
  <c r="F24" i="1"/>
  <c r="G24" i="1"/>
  <c r="K24" i="1" s="1"/>
  <c r="C12" i="1"/>
  <c r="C11" i="1"/>
  <c r="O25" i="1" l="1"/>
  <c r="C16" i="1"/>
  <c r="D18" i="1" s="1"/>
  <c r="O24" i="1"/>
  <c r="O21" i="1"/>
  <c r="O23" i="1"/>
  <c r="C15" i="1"/>
  <c r="O22" i="1"/>
  <c r="C18" i="1" l="1"/>
  <c r="F18" i="1"/>
  <c r="F19" i="1" s="1"/>
</calcChain>
</file>

<file path=xl/sharedStrings.xml><?xml version="1.0" encoding="utf-8"?>
<sst xmlns="http://schemas.openxmlformats.org/spreadsheetml/2006/main" count="68" uniqueCount="57">
  <si>
    <t>I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</si>
  <si>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</si>
  <si>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</si>
  <si>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</si>
  <si>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</si>
  <si>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</si>
  <si>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</si>
  <si>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</si>
  <si>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</si>
  <si>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</si>
  <si>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</si>
  <si>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</si>
  <si>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</si>
  <si>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</si>
  <si>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</si>
  <si>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</si>
  <si>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</si>
  <si>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</si>
  <si>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</si>
  <si>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</si>
  <si>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</si>
  <si>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</si>
  <si>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</si>
  <si>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</si>
  <si>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</si>
  <si>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</si>
  <si>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</si>
  <si>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</si>
  <si>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</si>
  <si>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</si>
  <si>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</si>
  <si>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</si>
  <si>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</si>
  <si>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</si>
  <si>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</si>
  <si>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</si>
  <si>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</si>
  <si>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</si>
  <si>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</si>
  <si>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</si>
  <si>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</si>
  <si>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</si>
  <si>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</si>
  <si>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CK Cet</t>
  </si>
  <si>
    <t>G5846-0320</t>
  </si>
  <si>
    <t>EB</t>
  </si>
  <si>
    <t>pr_0</t>
  </si>
  <si>
    <t>A8/A9V</t>
  </si>
  <si>
    <t>CK Cet / GSC 5846-0320</t>
  </si>
  <si>
    <t>Kreimer</t>
  </si>
  <si>
    <t>VSB_061</t>
  </si>
  <si>
    <t>VSB 069</t>
  </si>
  <si>
    <t>V</t>
  </si>
  <si>
    <t>Ic</t>
  </si>
  <si>
    <t>VSB, 91</t>
  </si>
  <si>
    <t>F21</t>
  </si>
  <si>
    <t>G21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</si>
</sst>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6" fillId="0" borderId="0"/>
    <xf numFmtId="0" fontId="17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left" vertical="center"/>
    </xf>
    <xf numFmtId="0" fontId="17" fillId="24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6" fillId="0" borderId="0" xfId="41" applyAlignment="1">
      <alignment horizontal="left"/>
    </xf>
    <xf numFmtId="0" fontId="34" fillId="0" borderId="0" xfId="41" applyFont="1"/>
    <xf numFmtId="0" fontId="34" fillId="0" borderId="0" xfId="41" applyFont="1" applyAlignment="1">
      <alignment horizontal="center"/>
    </xf>
    <xf numFmtId="0" fontId="34" fillId="0" borderId="0" xfId="41" applyFont="1" applyAlignment="1">
      <alignment horizontal="left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5" fontId="35" fillId="0" borderId="0" xfId="0" applyNumberFormat="1" applyFont="1" applyAlignment="1">
      <alignment vertic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CK Cet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6216</c:v>
                </c:pt>
                <c:pt idx="2">
                  <c:v>8584</c:v>
                </c:pt>
                <c:pt idx="3">
                  <c:v>8584</c:v>
                </c:pt>
                <c:pt idx="4">
                  <c:v>9061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78-4FDF-9BC3-BCD4EDF9892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6216</c:v>
                </c:pt>
                <c:pt idx="2">
                  <c:v>8584</c:v>
                </c:pt>
                <c:pt idx="3">
                  <c:v>8584</c:v>
                </c:pt>
                <c:pt idx="4">
                  <c:v>9061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78-4FDF-9BC3-BCD4EDF9892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6216</c:v>
                </c:pt>
                <c:pt idx="2">
                  <c:v>8584</c:v>
                </c:pt>
                <c:pt idx="3">
                  <c:v>8584</c:v>
                </c:pt>
                <c:pt idx="4">
                  <c:v>9061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78-4FDF-9BC3-BCD4EDF9892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6216</c:v>
                </c:pt>
                <c:pt idx="2">
                  <c:v>8584</c:v>
                </c:pt>
                <c:pt idx="3">
                  <c:v>8584</c:v>
                </c:pt>
                <c:pt idx="4">
                  <c:v>9061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1">
                  <c:v>1.9239997782278806E-3</c:v>
                </c:pt>
                <c:pt idx="2">
                  <c:v>-1.0424000007333234E-2</c:v>
                </c:pt>
                <c:pt idx="3">
                  <c:v>-6.8240000036894344E-3</c:v>
                </c:pt>
                <c:pt idx="4">
                  <c:v>-1.0470999775861856E-2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78-4FDF-9BC3-BCD4EDF9892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6216</c:v>
                </c:pt>
                <c:pt idx="2">
                  <c:v>8584</c:v>
                </c:pt>
                <c:pt idx="3">
                  <c:v>8584</c:v>
                </c:pt>
                <c:pt idx="4">
                  <c:v>9061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978-4FDF-9BC3-BCD4EDF9892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6216</c:v>
                </c:pt>
                <c:pt idx="2">
                  <c:v>8584</c:v>
                </c:pt>
                <c:pt idx="3">
                  <c:v>8584</c:v>
                </c:pt>
                <c:pt idx="4">
                  <c:v>9061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978-4FDF-9BC3-BCD4EDF9892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6216</c:v>
                </c:pt>
                <c:pt idx="2">
                  <c:v>8584</c:v>
                </c:pt>
                <c:pt idx="3">
                  <c:v>8584</c:v>
                </c:pt>
                <c:pt idx="4">
                  <c:v>9061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978-4FDF-9BC3-BCD4EDF9892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6216</c:v>
                </c:pt>
                <c:pt idx="2">
                  <c:v>8584</c:v>
                </c:pt>
                <c:pt idx="3">
                  <c:v>8584</c:v>
                </c:pt>
                <c:pt idx="4">
                  <c:v>9061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2.0080739007046428E-3</c:v>
                </c:pt>
                <c:pt idx="1">
                  <c:v>-4.8574726207226953E-3</c:v>
                </c:pt>
                <c:pt idx="2">
                  <c:v>-7.4729189145997773E-3</c:v>
                </c:pt>
                <c:pt idx="3">
                  <c:v>-7.4729189145997773E-3</c:v>
                </c:pt>
                <c:pt idx="4">
                  <c:v>-7.9997634594390354E-3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78-4FDF-9BC3-BCD4EDF9892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0</c:v>
                </c:pt>
                <c:pt idx="1">
                  <c:v>6216</c:v>
                </c:pt>
                <c:pt idx="2">
                  <c:v>8584</c:v>
                </c:pt>
                <c:pt idx="3">
                  <c:v>8584</c:v>
                </c:pt>
                <c:pt idx="4">
                  <c:v>9061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978-4FDF-9BC3-BCD4EDF98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9410896"/>
        <c:axId val="1"/>
      </c:scatterChart>
      <c:valAx>
        <c:axId val="839410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9410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7B60A23-ED69-DA90-3C02-5C0C233C1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8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48</v>
      </c>
      <c r="F1" s="38" t="s">
        <v>43</v>
      </c>
      <c r="G1" s="31">
        <v>0</v>
      </c>
      <c r="H1" s="32"/>
      <c r="I1" s="39" t="s">
        <v>44</v>
      </c>
      <c r="J1" s="38" t="s">
        <v>43</v>
      </c>
      <c r="K1" s="40">
        <v>0.22570000000000001</v>
      </c>
      <c r="L1" s="34">
        <v>-20.392399999999999</v>
      </c>
      <c r="M1" s="35">
        <v>52500.512000000002</v>
      </c>
      <c r="N1" s="35">
        <v>0.76731099999999997</v>
      </c>
      <c r="O1" s="33" t="s">
        <v>45</v>
      </c>
      <c r="P1" s="34">
        <v>10.41</v>
      </c>
      <c r="Q1" s="34">
        <v>10.74</v>
      </c>
      <c r="R1" s="41" t="s">
        <v>46</v>
      </c>
      <c r="S1" s="42" t="s">
        <v>47</v>
      </c>
    </row>
    <row r="2" spans="1:19" x14ac:dyDescent="0.2">
      <c r="A2" t="s">
        <v>24</v>
      </c>
      <c r="B2" t="s">
        <v>45</v>
      </c>
      <c r="C2" s="30"/>
      <c r="D2" s="3"/>
    </row>
    <row r="3" spans="1:19" ht="13.5" thickBot="1" x14ac:dyDescent="0.25"/>
    <row r="4" spans="1:19" ht="14.25" thickTop="1" thickBot="1" x14ac:dyDescent="0.25">
      <c r="A4" s="5" t="s">
        <v>1</v>
      </c>
      <c r="C4" s="27" t="s">
        <v>38</v>
      </c>
      <c r="D4" s="28" t="s">
        <v>38</v>
      </c>
    </row>
    <row r="5" spans="1:19" ht="13.5" thickTop="1" x14ac:dyDescent="0.2">
      <c r="A5" s="9" t="s">
        <v>29</v>
      </c>
      <c r="B5" s="10"/>
      <c r="C5" s="11">
        <v>-9.5</v>
      </c>
      <c r="D5" s="10" t="s">
        <v>30</v>
      </c>
      <c r="E5" s="10"/>
    </row>
    <row r="6" spans="1:19" x14ac:dyDescent="0.2">
      <c r="A6" s="5" t="s">
        <v>2</v>
      </c>
    </row>
    <row r="7" spans="1:19" x14ac:dyDescent="0.2">
      <c r="A7" t="s">
        <v>3</v>
      </c>
      <c r="C7" s="54">
        <v>52500.512000000002</v>
      </c>
      <c r="D7" s="29" t="s">
        <v>49</v>
      </c>
    </row>
    <row r="8" spans="1:19" x14ac:dyDescent="0.2">
      <c r="A8" t="s">
        <v>4</v>
      </c>
      <c r="C8" s="54">
        <v>0.76731099999999997</v>
      </c>
      <c r="D8" s="29" t="s">
        <v>49</v>
      </c>
    </row>
    <row r="9" spans="1:19" x14ac:dyDescent="0.2">
      <c r="A9" s="24" t="s">
        <v>33</v>
      </c>
      <c r="C9" s="25">
        <v>21</v>
      </c>
      <c r="D9" s="22" t="s">
        <v>55</v>
      </c>
      <c r="E9" s="23" t="s">
        <v>56</v>
      </c>
    </row>
    <row r="10" spans="1:19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19" x14ac:dyDescent="0.2">
      <c r="A11" s="10" t="s">
        <v>16</v>
      </c>
      <c r="B11" s="10"/>
      <c r="C11" s="21">
        <f ca="1">INTERCEPT(INDIRECT($E$9):G990,INDIRECT($D$9):F990)</f>
        <v>2.0080739007046428E-3</v>
      </c>
      <c r="D11" s="3"/>
      <c r="E11" s="10"/>
    </row>
    <row r="12" spans="1:19" x14ac:dyDescent="0.2">
      <c r="A12" s="10" t="s">
        <v>17</v>
      </c>
      <c r="B12" s="10"/>
      <c r="C12" s="21">
        <f ca="1">SLOPE(INDIRECT($E$9):G990,INDIRECT($D$9):F990)</f>
        <v>-1.1044959011305242E-6</v>
      </c>
      <c r="D12" s="3"/>
      <c r="E12" s="10"/>
    </row>
    <row r="13" spans="1:19" x14ac:dyDescent="0.2">
      <c r="A13" s="10" t="s">
        <v>19</v>
      </c>
      <c r="B13" s="10"/>
      <c r="C13" s="3" t="s">
        <v>14</v>
      </c>
    </row>
    <row r="14" spans="1:19" x14ac:dyDescent="0.2">
      <c r="A14" s="10"/>
      <c r="B14" s="10"/>
      <c r="C14" s="10"/>
    </row>
    <row r="15" spans="1:19" x14ac:dyDescent="0.2">
      <c r="A15" s="12" t="s">
        <v>18</v>
      </c>
      <c r="B15" s="10"/>
      <c r="C15" s="13">
        <f ca="1">(C7+C11)+(C8+C12)*INT(MAX(F21:F3531))</f>
        <v>59453.108971236536</v>
      </c>
      <c r="E15" s="14" t="s">
        <v>35</v>
      </c>
      <c r="F15" s="36">
        <v>1</v>
      </c>
    </row>
    <row r="16" spans="1:19" x14ac:dyDescent="0.2">
      <c r="A16" s="16" t="s">
        <v>5</v>
      </c>
      <c r="B16" s="10"/>
      <c r="C16" s="17">
        <f ca="1">+C8+C12</f>
        <v>0.76730989550409878</v>
      </c>
      <c r="E16" s="14" t="s">
        <v>31</v>
      </c>
      <c r="F16" s="37">
        <f ca="1">NOW()+15018.5+$C$5/24</f>
        <v>60334.816793981481</v>
      </c>
    </row>
    <row r="17" spans="1:21" ht="13.5" thickBot="1" x14ac:dyDescent="0.25">
      <c r="A17" s="14" t="s">
        <v>28</v>
      </c>
      <c r="B17" s="10"/>
      <c r="C17" s="10">
        <f>COUNT(C21:C2189)</f>
        <v>5</v>
      </c>
      <c r="E17" s="14" t="s">
        <v>36</v>
      </c>
      <c r="F17" s="15">
        <f ca="1">ROUND(2*(F16-$C$7)/$C$8,0)/2+F15</f>
        <v>10211</v>
      </c>
    </row>
    <row r="18" spans="1:21" ht="14.25" thickTop="1" thickBot="1" x14ac:dyDescent="0.25">
      <c r="A18" s="16" t="s">
        <v>6</v>
      </c>
      <c r="B18" s="10"/>
      <c r="C18" s="19">
        <f ca="1">+C15</f>
        <v>59453.108971236536</v>
      </c>
      <c r="D18" s="20">
        <f ca="1">+C16</f>
        <v>0.76730989550409878</v>
      </c>
      <c r="E18" s="14" t="s">
        <v>37</v>
      </c>
      <c r="F18" s="23">
        <f ca="1">ROUND(2*(F16-$C$15)/$C$16,0)/2+F15</f>
        <v>1150</v>
      </c>
    </row>
    <row r="19" spans="1:21" ht="13.5" thickTop="1" x14ac:dyDescent="0.2">
      <c r="E19" s="14" t="s">
        <v>32</v>
      </c>
      <c r="F19" s="18">
        <f ca="1">+$C$15+$C$16*F18-15018.5-$C$5/24</f>
        <v>45317.411184399585</v>
      </c>
    </row>
    <row r="20" spans="1:21" ht="13.5" thickBot="1" x14ac:dyDescent="0.25">
      <c r="A20" s="4" t="s">
        <v>7</v>
      </c>
      <c r="B20" s="4" t="s">
        <v>8</v>
      </c>
      <c r="C20" s="4" t="s">
        <v>9</v>
      </c>
      <c r="D20" s="4" t="s">
        <v>13</v>
      </c>
      <c r="E20" s="4" t="s">
        <v>10</v>
      </c>
      <c r="F20" s="4" t="s">
        <v>11</v>
      </c>
      <c r="G20" s="4" t="s">
        <v>12</v>
      </c>
      <c r="H20" s="7" t="s">
        <v>39</v>
      </c>
      <c r="I20" s="7" t="s">
        <v>40</v>
      </c>
      <c r="J20" s="7" t="s">
        <v>41</v>
      </c>
      <c r="K20" s="7" t="s">
        <v>42</v>
      </c>
      <c r="L20" s="7" t="s">
        <v>25</v>
      </c>
      <c r="M20" s="7" t="s">
        <v>26</v>
      </c>
      <c r="N20" s="7" t="s">
        <v>27</v>
      </c>
      <c r="O20" s="7" t="s">
        <v>23</v>
      </c>
      <c r="P20" s="6" t="s">
        <v>22</v>
      </c>
      <c r="Q20" s="4" t="s">
        <v>15</v>
      </c>
      <c r="U20" s="26" t="s">
        <v>34</v>
      </c>
    </row>
    <row r="21" spans="1:21" x14ac:dyDescent="0.2">
      <c r="A21" t="s">
        <v>49</v>
      </c>
      <c r="C21" s="8">
        <v>52500.512000000002</v>
      </c>
      <c r="D21" s="8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2.0080739007046428E-3</v>
      </c>
      <c r="Q21" s="2">
        <f>+C21-15018.5</f>
        <v>37482.012000000002</v>
      </c>
    </row>
    <row r="22" spans="1:21" x14ac:dyDescent="0.2">
      <c r="A22" s="43" t="s">
        <v>50</v>
      </c>
      <c r="B22" s="44" t="s">
        <v>0</v>
      </c>
      <c r="C22" s="45">
        <v>57270.119099999778</v>
      </c>
      <c r="D22" s="46"/>
      <c r="E22">
        <f>+(C22-C$7)/C$8</f>
        <v>6216.0025074575706</v>
      </c>
      <c r="F22">
        <f>ROUND(2*E22,0)/2</f>
        <v>6216</v>
      </c>
      <c r="G22">
        <f>+C22-(C$7+F22*C$8)</f>
        <v>1.9239997782278806E-3</v>
      </c>
      <c r="K22">
        <f>+G22</f>
        <v>1.9239997782278806E-3</v>
      </c>
      <c r="O22">
        <f ca="1">+C$11+C$12*$F22</f>
        <v>-4.8574726207226953E-3</v>
      </c>
      <c r="Q22" s="2">
        <f>+C22-15018.5</f>
        <v>42251.619099999778</v>
      </c>
    </row>
    <row r="23" spans="1:21" x14ac:dyDescent="0.2">
      <c r="A23" s="47" t="s">
        <v>51</v>
      </c>
      <c r="B23" s="48" t="s">
        <v>0</v>
      </c>
      <c r="C23" s="49">
        <v>59087.099199999997</v>
      </c>
      <c r="D23" s="49" t="s">
        <v>52</v>
      </c>
      <c r="E23">
        <f>+(C23-C$7)/C$8</f>
        <v>8583.9864148956476</v>
      </c>
      <c r="F23">
        <f>ROUND(2*E23,0)/2</f>
        <v>8584</v>
      </c>
      <c r="G23">
        <f>+C23-(C$7+F23*C$8)</f>
        <v>-1.0424000007333234E-2</v>
      </c>
      <c r="K23">
        <f>+G23</f>
        <v>-1.0424000007333234E-2</v>
      </c>
      <c r="O23">
        <f ca="1">+C$11+C$12*$F23</f>
        <v>-7.4729189145997773E-3</v>
      </c>
      <c r="Q23" s="2">
        <f>+C23-15018.5</f>
        <v>44068.599199999997</v>
      </c>
    </row>
    <row r="24" spans="1:21" x14ac:dyDescent="0.2">
      <c r="A24" s="47" t="s">
        <v>51</v>
      </c>
      <c r="B24" s="48" t="s">
        <v>0</v>
      </c>
      <c r="C24" s="49">
        <v>59087.102800000001</v>
      </c>
      <c r="D24" s="49" t="s">
        <v>53</v>
      </c>
      <c r="E24">
        <f>+(C24-C$7)/C$8</f>
        <v>8583.9911066047516</v>
      </c>
      <c r="F24">
        <f>ROUND(2*E24,0)/2</f>
        <v>8584</v>
      </c>
      <c r="G24">
        <f>+C24-(C$7+F24*C$8)</f>
        <v>-6.8240000036894344E-3</v>
      </c>
      <c r="K24">
        <f>+G24</f>
        <v>-6.8240000036894344E-3</v>
      </c>
      <c r="O24">
        <f ca="1">+C$11+C$12*$F24</f>
        <v>-7.4729189145997773E-3</v>
      </c>
      <c r="Q24" s="2">
        <f>+C24-15018.5</f>
        <v>44068.602800000001</v>
      </c>
    </row>
    <row r="25" spans="1:21" x14ac:dyDescent="0.2">
      <c r="A25" s="50" t="s">
        <v>54</v>
      </c>
      <c r="B25" s="51" t="s">
        <v>0</v>
      </c>
      <c r="C25" s="52">
        <v>59453.106500000227</v>
      </c>
      <c r="D25" s="53" t="s">
        <v>53</v>
      </c>
      <c r="E25">
        <f>+(C25-C$7)/C$8</f>
        <v>9060.9863536430803</v>
      </c>
      <c r="F25">
        <f>ROUND(2*E25,0)/2</f>
        <v>9061</v>
      </c>
      <c r="G25">
        <f>+C25-(C$7+F25*C$8)</f>
        <v>-1.0470999775861856E-2</v>
      </c>
      <c r="K25">
        <f>+G25</f>
        <v>-1.0470999775861856E-2</v>
      </c>
      <c r="O25">
        <f ca="1">+C$11+C$12*$F25</f>
        <v>-7.9997634594390354E-3</v>
      </c>
      <c r="Q25" s="2">
        <f>+C25-15018.5</f>
        <v>44434.606500000227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</sheetData>
  <protectedRanges>
    <protectedRange sqref="A23:D24" name="Range1"/>
  </protectedRanges>
  <phoneticPr fontId="8" type="noConversion"/>
  <hyperlinks>
    <hyperlink ref="H1769" r:id="rId1" display="http://vsolj.cetus-net.org/bulletin.html" xr:uid="{00000000-0004-0000-0000-000000000000}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2024-01-25T06:36:11Z</dcterms:modified>
</cp:coreProperties>
</file>