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2B2DC37-79B4-40A0-B8C9-6BB6181B6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Q35" i="1"/>
  <c r="Q36" i="1"/>
  <c r="Q37" i="1"/>
  <c r="Q38" i="1"/>
  <c r="Q32" i="1"/>
  <c r="Q33" i="1"/>
  <c r="Q34" i="1"/>
  <c r="D9" i="1"/>
  <c r="C9" i="1"/>
  <c r="Q23" i="1"/>
  <c r="Q24" i="1"/>
  <c r="Q25" i="1"/>
  <c r="Q26" i="1"/>
  <c r="Q27" i="1"/>
  <c r="Q28" i="1"/>
  <c r="Q29" i="1"/>
  <c r="Q30" i="1"/>
  <c r="Q31" i="1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F16" i="1"/>
  <c r="F17" i="1" s="1"/>
  <c r="C17" i="1"/>
  <c r="Q22" i="1"/>
  <c r="C7" i="1"/>
  <c r="C8" i="1"/>
  <c r="E35" i="1"/>
  <c r="F35" i="1"/>
  <c r="G35" i="1"/>
  <c r="K35" i="1"/>
  <c r="Q21" i="1"/>
  <c r="E15" i="2"/>
  <c r="E19" i="2"/>
  <c r="E23" i="1"/>
  <c r="E21" i="1"/>
  <c r="F21" i="1"/>
  <c r="G21" i="1"/>
  <c r="E24" i="1"/>
  <c r="E27" i="1"/>
  <c r="F27" i="1"/>
  <c r="G27" i="1"/>
  <c r="I27" i="1"/>
  <c r="E25" i="1"/>
  <c r="F25" i="1"/>
  <c r="G25" i="1"/>
  <c r="I25" i="1"/>
  <c r="E30" i="1"/>
  <c r="F30" i="1"/>
  <c r="E37" i="1"/>
  <c r="F37" i="1"/>
  <c r="G37" i="1"/>
  <c r="K37" i="1"/>
  <c r="E32" i="1"/>
  <c r="F32" i="1"/>
  <c r="G32" i="1"/>
  <c r="K32" i="1"/>
  <c r="E29" i="1"/>
  <c r="F29" i="1"/>
  <c r="G29" i="1"/>
  <c r="I29" i="1"/>
  <c r="G38" i="1"/>
  <c r="K38" i="1"/>
  <c r="E36" i="1"/>
  <c r="F36" i="1"/>
  <c r="G36" i="1"/>
  <c r="K36" i="1"/>
  <c r="E34" i="1"/>
  <c r="F34" i="1"/>
  <c r="G34" i="1"/>
  <c r="K34" i="1"/>
  <c r="G28" i="1"/>
  <c r="I28" i="1"/>
  <c r="E26" i="1"/>
  <c r="F26" i="1"/>
  <c r="G26" i="1"/>
  <c r="I26" i="1"/>
  <c r="E31" i="1"/>
  <c r="F31" i="1"/>
  <c r="G31" i="1"/>
  <c r="I31" i="1"/>
  <c r="E38" i="1"/>
  <c r="F38" i="1"/>
  <c r="E22" i="1"/>
  <c r="F22" i="1"/>
  <c r="G22" i="1"/>
  <c r="I22" i="1"/>
  <c r="G30" i="1"/>
  <c r="I30" i="1"/>
  <c r="E28" i="1"/>
  <c r="F28" i="1"/>
  <c r="E33" i="1"/>
  <c r="F33" i="1"/>
  <c r="G33" i="1"/>
  <c r="K33" i="1"/>
  <c r="E11" i="2"/>
  <c r="F23" i="1"/>
  <c r="G23" i="1"/>
  <c r="E14" i="2"/>
  <c r="E13" i="2"/>
  <c r="E12" i="2"/>
  <c r="F24" i="1"/>
  <c r="G24" i="1"/>
  <c r="I24" i="1"/>
  <c r="E16" i="2"/>
  <c r="E18" i="2"/>
  <c r="E17" i="2"/>
  <c r="H21" i="1"/>
  <c r="I23" i="1"/>
  <c r="C11" i="1"/>
  <c r="C12" i="1"/>
  <c r="O39" i="1" l="1"/>
  <c r="O28" i="1"/>
  <c r="O30" i="1"/>
  <c r="O27" i="1"/>
  <c r="O23" i="1"/>
  <c r="O29" i="1"/>
  <c r="O35" i="1"/>
  <c r="O25" i="1"/>
  <c r="O37" i="1"/>
  <c r="O34" i="1"/>
  <c r="O32" i="1"/>
  <c r="O24" i="1"/>
  <c r="O36" i="1"/>
  <c r="O38" i="1"/>
  <c r="O31" i="1"/>
  <c r="O22" i="1"/>
  <c r="O33" i="1"/>
  <c r="O21" i="1"/>
  <c r="C15" i="1"/>
  <c r="F18" i="1" s="1"/>
  <c r="O26" i="1"/>
  <c r="C16" i="1"/>
  <c r="D18" i="1" s="1"/>
  <c r="F19" i="1" l="1"/>
  <c r="C18" i="1"/>
</calcChain>
</file>

<file path=xl/sharedStrings.xml><?xml version="1.0" encoding="utf-8"?>
<sst xmlns="http://schemas.openxmlformats.org/spreadsheetml/2006/main" count="172" uniqueCount="93">
  <si>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</si>
  <si>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</si>
  <si>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</si>
  <si>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</si>
  <si>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</si>
  <si>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</si>
  <si>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</si>
  <si>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</si>
  <si>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</si>
  <si>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</si>
  <si>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</si>
  <si>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</si>
  <si>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</si>
  <si>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</si>
  <si>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</si>
  <si>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</si>
  <si>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</si>
  <si>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</si>
  <si>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</si>
  <si>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</si>
  <si>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</si>
  <si>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</si>
  <si>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</si>
  <si>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</si>
  <si>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</si>
  <si>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</si>
  <si>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</si>
  <si>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</si>
  <si>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</si>
  <si>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</si>
  <si>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</si>
  <si>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</si>
  <si>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</si>
  <si>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</si>
  <si>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</si>
  <si>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WZ Cet / GSC 4687-0310</t>
  </si>
  <si>
    <t>OEJV 0073</t>
  </si>
  <si>
    <t>I</t>
  </si>
  <si>
    <t>EA/DM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</si>
  <si>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</si>
  <si>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</si>
  <si>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</si>
  <si>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</si>
  <si>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</si>
  <si>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</si>
  <si>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</si>
  <si>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</si>
  <si>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</si>
  <si>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</si>
  <si>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</si>
  <si>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</si>
  <si>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</si>
  <si>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2426308.415 </t>
  </si>
  <si>
    <t> 27.11.1930 21:57 </t>
  </si>
  <si>
    <t> 0.065 </t>
  </si>
  <si>
    <t>P </t>
  </si>
  <si>
    <t> W.Strohmeier et al </t>
  </si>
  <si>
    <t> MVS 651 </t>
  </si>
  <si>
    <t>2436820.603 </t>
  </si>
  <si>
    <t> 09.09.1959 02:28 </t>
  </si>
  <si>
    <t> -0.276 </t>
  </si>
  <si>
    <t>2436840.481 </t>
  </si>
  <si>
    <t> 28.09.1959 23:32 </t>
  </si>
  <si>
    <t> -0.333 </t>
  </si>
  <si>
    <t>2436840.526 </t>
  </si>
  <si>
    <t> 29.09.1959 00:37 </t>
  </si>
  <si>
    <t> -0.288 </t>
  </si>
  <si>
    <t>2436847.465 </t>
  </si>
  <si>
    <t> 05.10.1959 23:09 </t>
  </si>
  <si>
    <t> 0.005 </t>
  </si>
  <si>
    <t>2436847.510 </t>
  </si>
  <si>
    <t> 06.10.1959 00:14 </t>
  </si>
  <si>
    <t> 0.050 </t>
  </si>
  <si>
    <t>2437578.459 </t>
  </si>
  <si>
    <t> 05.10.1961 23:00 </t>
  </si>
  <si>
    <t> 0.040 </t>
  </si>
  <si>
    <t>2437578.512 </t>
  </si>
  <si>
    <t> 06.10.1961 00:17 </t>
  </si>
  <si>
    <t> 0.093 </t>
  </si>
  <si>
    <t>2454067.320 </t>
  </si>
  <si>
    <t> 27.11.2006 19:40 </t>
  </si>
  <si>
    <t> -0.885 </t>
  </si>
  <si>
    <t>C </t>
  </si>
  <si>
    <t>o</t>
  </si>
  <si>
    <t> A.Paschke </t>
  </si>
  <si>
    <t>OEJV 0073 </t>
  </si>
  <si>
    <t>II</t>
  </si>
  <si>
    <t>VSB-64</t>
  </si>
  <si>
    <t>B</t>
  </si>
  <si>
    <t>Ic</t>
  </si>
  <si>
    <t>VSB 069</t>
  </si>
  <si>
    <t>U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</si>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</sst>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8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14" fillId="0" borderId="0" xfId="9" applyFont="1"/>
    <xf numFmtId="0" fontId="14" fillId="0" borderId="0" xfId="9" applyFont="1" applyAlignment="1">
      <alignment horizontal="center"/>
    </xf>
    <xf numFmtId="0" fontId="14" fillId="0" borderId="0" xfId="9" applyFont="1" applyAlignment="1">
      <alignment horizontal="left"/>
    </xf>
    <xf numFmtId="4" fontId="20" fillId="0" borderId="0" xfId="1" applyFont="1" applyBorder="1"/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left" vertical="top"/>
    </xf>
    <xf numFmtId="165" fontId="14" fillId="0" borderId="0" xfId="9" applyNumberFormat="1" applyFont="1" applyAlignment="1">
      <alignment horizontal="left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</cellXfs>
  <cellStyles count="1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Normal_A" xfId="9" xr:uid="{00000000-0005-0000-0000-000009000000}"/>
    <cellStyle name="Total" xfId="1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D-4E8A-AD32-27B235BD65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-0.88512000016635284</c:v>
                </c:pt>
                <c:pt idx="2">
                  <c:v>6.5000000002328306E-2</c:v>
                </c:pt>
                <c:pt idx="3">
                  <c:v>-0.27621599999838509</c:v>
                </c:pt>
                <c:pt idx="4">
                  <c:v>-0.33348000000114553</c:v>
                </c:pt>
                <c:pt idx="5">
                  <c:v>-0.28848000000289176</c:v>
                </c:pt>
                <c:pt idx="6">
                  <c:v>5.4319999981089495E-3</c:v>
                </c:pt>
                <c:pt idx="7">
                  <c:v>5.0432000003638677E-2</c:v>
                </c:pt>
                <c:pt idx="8">
                  <c:v>3.9752000004227739E-2</c:v>
                </c:pt>
                <c:pt idx="9">
                  <c:v>9.2752000004111324E-2</c:v>
                </c:pt>
                <c:pt idx="10">
                  <c:v>-0.88511999999900581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CD-4E8A-AD32-27B235BD65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CD-4E8A-AD32-27B235BD65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1.361667999997735</c:v>
                </c:pt>
                <c:pt idx="12">
                  <c:v>1.3645680000045104</c:v>
                </c:pt>
                <c:pt idx="13">
                  <c:v>1.3659679999982473</c:v>
                </c:pt>
                <c:pt idx="14">
                  <c:v>0.91307200000301236</c:v>
                </c:pt>
                <c:pt idx="15">
                  <c:v>0.91407199999957811</c:v>
                </c:pt>
                <c:pt idx="16">
                  <c:v>0.91407199999957811</c:v>
                </c:pt>
                <c:pt idx="17">
                  <c:v>0.91707200000382727</c:v>
                </c:pt>
                <c:pt idx="18">
                  <c:v>0.28626399979839334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CD-4E8A-AD32-27B235BD65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CD-4E8A-AD32-27B235BD65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CD-4E8A-AD32-27B235BD65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CD-4E8A-AD32-27B235BD65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4177.5</c:v>
                </c:pt>
                <c:pt idx="2">
                  <c:v>0</c:v>
                </c:pt>
                <c:pt idx="3">
                  <c:v>1582</c:v>
                </c:pt>
                <c:pt idx="4">
                  <c:v>1585</c:v>
                </c:pt>
                <c:pt idx="5">
                  <c:v>1585</c:v>
                </c:pt>
                <c:pt idx="6">
                  <c:v>1586</c:v>
                </c:pt>
                <c:pt idx="7">
                  <c:v>1586</c:v>
                </c:pt>
                <c:pt idx="8">
                  <c:v>1696</c:v>
                </c:pt>
                <c:pt idx="9">
                  <c:v>1696</c:v>
                </c:pt>
                <c:pt idx="10">
                  <c:v>4177.5</c:v>
                </c:pt>
                <c:pt idx="11">
                  <c:v>4776.5</c:v>
                </c:pt>
                <c:pt idx="12">
                  <c:v>4776.5</c:v>
                </c:pt>
                <c:pt idx="13">
                  <c:v>4776.5</c:v>
                </c:pt>
                <c:pt idx="14">
                  <c:v>4931</c:v>
                </c:pt>
                <c:pt idx="15">
                  <c:v>4931</c:v>
                </c:pt>
                <c:pt idx="16">
                  <c:v>4931</c:v>
                </c:pt>
                <c:pt idx="17">
                  <c:v>4931</c:v>
                </c:pt>
                <c:pt idx="18">
                  <c:v>5059.5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-0.35288946465949678</c:v>
                </c:pt>
                <c:pt idx="1">
                  <c:v>0.52310407443654561</c:v>
                </c:pt>
                <c:pt idx="2">
                  <c:v>-0.35288946465949678</c:v>
                </c:pt>
                <c:pt idx="3">
                  <c:v>-2.115474799882916E-2</c:v>
                </c:pt>
                <c:pt idx="4">
                  <c:v>-2.0525668258006113E-2</c:v>
                </c:pt>
                <c:pt idx="5">
                  <c:v>-2.0525668258006113E-2</c:v>
                </c:pt>
                <c:pt idx="6">
                  <c:v>-2.0315975011065135E-2</c:v>
                </c:pt>
                <c:pt idx="7">
                  <c:v>-2.0315975011065135E-2</c:v>
                </c:pt>
                <c:pt idx="8">
                  <c:v>2.7502821524452714E-3</c:v>
                </c:pt>
                <c:pt idx="9">
                  <c:v>2.7502821524452714E-3</c:v>
                </c:pt>
                <c:pt idx="10">
                  <c:v>0.52310407443654561</c:v>
                </c:pt>
                <c:pt idx="11">
                  <c:v>0.6487103293542068</c:v>
                </c:pt>
                <c:pt idx="12">
                  <c:v>0.6487103293542068</c:v>
                </c:pt>
                <c:pt idx="13">
                  <c:v>0.6487103293542068</c:v>
                </c:pt>
                <c:pt idx="14">
                  <c:v>0.68110793600659181</c:v>
                </c:pt>
                <c:pt idx="15">
                  <c:v>0.68110793600659181</c:v>
                </c:pt>
                <c:pt idx="16">
                  <c:v>0.68110793600659181</c:v>
                </c:pt>
                <c:pt idx="17">
                  <c:v>0.68110793600659181</c:v>
                </c:pt>
                <c:pt idx="18">
                  <c:v>0.7080535182385107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CD-4E8A-AD32-27B235BD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452648"/>
        <c:axId val="1"/>
      </c:scatterChart>
      <c:valAx>
        <c:axId val="67245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45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73CAF9C-B7C2-1647-54A2-BCBD149EFE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ejv/issues/oejv0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26308.35</v>
      </c>
      <c r="D4" s="9">
        <v>6.6450880000000003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26308.35</v>
      </c>
    </row>
    <row r="8" spans="1:6" x14ac:dyDescent="0.2">
      <c r="A8" t="s">
        <v>3</v>
      </c>
      <c r="C8">
        <f>+D4</f>
        <v>6.6450880000000003</v>
      </c>
    </row>
    <row r="9" spans="1:6" x14ac:dyDescent="0.2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-0.35288946465949678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2.0969324694100356E-4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59926.558140671616</v>
      </c>
      <c r="E15" s="16" t="s">
        <v>39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6.645297693246941</v>
      </c>
      <c r="E16" s="16" t="s">
        <v>31</v>
      </c>
      <c r="F16" s="17">
        <f ca="1">NOW()+15018.5+$C$5/24</f>
        <v>60335.661756712958</v>
      </c>
    </row>
    <row r="17" spans="1:17" ht="13.5" thickBot="1" x14ac:dyDescent="0.25">
      <c r="A17" s="16" t="s">
        <v>28</v>
      </c>
      <c r="B17" s="12"/>
      <c r="C17" s="12">
        <f>COUNT(C21:C2191)</f>
        <v>19</v>
      </c>
      <c r="E17" s="16" t="s">
        <v>40</v>
      </c>
      <c r="F17" s="17">
        <f ca="1">ROUND(2*(F16-$C$7)/$C$8,0)/2+F15</f>
        <v>5121.5</v>
      </c>
    </row>
    <row r="18" spans="1:17" ht="14.25" thickTop="1" thickBot="1" x14ac:dyDescent="0.25">
      <c r="A18" s="18" t="s">
        <v>5</v>
      </c>
      <c r="B18" s="12"/>
      <c r="C18" s="21">
        <f ca="1">+C15</f>
        <v>59926.558140671616</v>
      </c>
      <c r="D18" s="22">
        <f ca="1">+C16</f>
        <v>6.645297693246941</v>
      </c>
      <c r="E18" s="16" t="s">
        <v>32</v>
      </c>
      <c r="F18" s="25">
        <f ca="1">ROUND(2*(F16-$C$15)/$C$16,0)/2+F15</f>
        <v>62.5</v>
      </c>
    </row>
    <row r="19" spans="1:17" ht="13.5" thickTop="1" x14ac:dyDescent="0.2">
      <c r="E19" s="16" t="s">
        <v>33</v>
      </c>
      <c r="F19" s="20">
        <f ca="1">+$C$15+$C$16*F18-15018.5-$C$5/24</f>
        <v>45323.785079832887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55">
        <v>26308.35</v>
      </c>
      <c r="D21" s="10" t="s">
        <v>14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H21">
        <f>+G21</f>
        <v>0</v>
      </c>
      <c r="O21">
        <f t="shared" ref="O21:O38" ca="1" si="3">+C$11+C$12*$F21</f>
        <v>-0.35288946465949678</v>
      </c>
      <c r="Q21" s="2">
        <f t="shared" ref="Q21:Q38" si="4">+C21-15018.5</f>
        <v>11289.849999999999</v>
      </c>
    </row>
    <row r="22" spans="1:17" x14ac:dyDescent="0.2">
      <c r="A22" s="28" t="s">
        <v>36</v>
      </c>
      <c r="B22" s="29" t="s">
        <v>37</v>
      </c>
      <c r="C22" s="56">
        <v>54067.319999999832</v>
      </c>
      <c r="D22" s="28">
        <v>0.01</v>
      </c>
      <c r="E22">
        <f t="shared" si="0"/>
        <v>4177.366800861002</v>
      </c>
      <c r="F22">
        <f t="shared" si="1"/>
        <v>4177.5</v>
      </c>
      <c r="G22">
        <f t="shared" si="2"/>
        <v>-0.88512000016635284</v>
      </c>
      <c r="I22">
        <f t="shared" ref="I22:I31" si="5">+G22</f>
        <v>-0.88512000016635284</v>
      </c>
      <c r="O22">
        <f t="shared" ca="1" si="3"/>
        <v>0.52310407443654561</v>
      </c>
      <c r="Q22" s="2">
        <f t="shared" si="4"/>
        <v>39048.819999999832</v>
      </c>
    </row>
    <row r="23" spans="1:17" x14ac:dyDescent="0.2">
      <c r="A23" s="43" t="s">
        <v>57</v>
      </c>
      <c r="B23" s="44" t="s">
        <v>37</v>
      </c>
      <c r="C23" s="57">
        <v>26308.415000000001</v>
      </c>
      <c r="D23" s="43" t="s">
        <v>51</v>
      </c>
      <c r="E23">
        <f t="shared" si="0"/>
        <v>9.7816612815854811E-3</v>
      </c>
      <c r="F23">
        <f t="shared" si="1"/>
        <v>0</v>
      </c>
      <c r="G23">
        <f t="shared" si="2"/>
        <v>6.5000000002328306E-2</v>
      </c>
      <c r="I23">
        <f t="shared" si="5"/>
        <v>6.5000000002328306E-2</v>
      </c>
      <c r="O23">
        <f t="shared" ca="1" si="3"/>
        <v>-0.35288946465949678</v>
      </c>
      <c r="Q23" s="2">
        <f t="shared" si="4"/>
        <v>11289.915000000001</v>
      </c>
    </row>
    <row r="24" spans="1:17" x14ac:dyDescent="0.2">
      <c r="A24" s="45" t="s">
        <v>57</v>
      </c>
      <c r="B24" s="47" t="s">
        <v>37</v>
      </c>
      <c r="C24" s="58">
        <v>36820.603000000003</v>
      </c>
      <c r="D24" s="46" t="s">
        <v>51</v>
      </c>
      <c r="E24">
        <f t="shared" si="0"/>
        <v>1581.9584330561165</v>
      </c>
      <c r="F24">
        <f t="shared" si="1"/>
        <v>1582</v>
      </c>
      <c r="G24">
        <f t="shared" si="2"/>
        <v>-0.27621599999838509</v>
      </c>
      <c r="I24">
        <f t="shared" si="5"/>
        <v>-0.27621599999838509</v>
      </c>
      <c r="O24">
        <f t="shared" ca="1" si="3"/>
        <v>-2.115474799882916E-2</v>
      </c>
      <c r="Q24" s="2">
        <f t="shared" si="4"/>
        <v>21802.103000000003</v>
      </c>
    </row>
    <row r="25" spans="1:17" x14ac:dyDescent="0.2">
      <c r="A25" s="45" t="s">
        <v>57</v>
      </c>
      <c r="B25" s="47" t="s">
        <v>37</v>
      </c>
      <c r="C25" s="58">
        <v>36840.481</v>
      </c>
      <c r="D25" s="46" t="s">
        <v>51</v>
      </c>
      <c r="E25">
        <f t="shared" si="0"/>
        <v>1584.9498155630145</v>
      </c>
      <c r="F25">
        <f t="shared" si="1"/>
        <v>1585</v>
      </c>
      <c r="G25">
        <f t="shared" si="2"/>
        <v>-0.33348000000114553</v>
      </c>
      <c r="I25">
        <f t="shared" si="5"/>
        <v>-0.33348000000114553</v>
      </c>
      <c r="O25">
        <f t="shared" ca="1" si="3"/>
        <v>-2.0525668258006113E-2</v>
      </c>
      <c r="Q25" s="2">
        <f t="shared" si="4"/>
        <v>21821.981</v>
      </c>
    </row>
    <row r="26" spans="1:17" x14ac:dyDescent="0.2">
      <c r="A26" s="45" t="s">
        <v>57</v>
      </c>
      <c r="B26" s="47" t="s">
        <v>37</v>
      </c>
      <c r="C26" s="58">
        <v>36840.525999999998</v>
      </c>
      <c r="D26" s="46" t="s">
        <v>51</v>
      </c>
      <c r="E26">
        <f t="shared" si="0"/>
        <v>1584.9565874823627</v>
      </c>
      <c r="F26">
        <f t="shared" si="1"/>
        <v>1585</v>
      </c>
      <c r="G26">
        <f t="shared" si="2"/>
        <v>-0.28848000000289176</v>
      </c>
      <c r="I26">
        <f t="shared" si="5"/>
        <v>-0.28848000000289176</v>
      </c>
      <c r="O26">
        <f t="shared" ca="1" si="3"/>
        <v>-2.0525668258006113E-2</v>
      </c>
      <c r="Q26" s="2">
        <f t="shared" si="4"/>
        <v>21822.025999999998</v>
      </c>
    </row>
    <row r="27" spans="1:17" x14ac:dyDescent="0.2">
      <c r="A27" s="45" t="s">
        <v>57</v>
      </c>
      <c r="B27" s="47" t="s">
        <v>37</v>
      </c>
      <c r="C27" s="58">
        <v>36847.464999999997</v>
      </c>
      <c r="D27" s="46" t="s">
        <v>51</v>
      </c>
      <c r="E27">
        <f t="shared" si="0"/>
        <v>1586.0008174459085</v>
      </c>
      <c r="F27">
        <f t="shared" si="1"/>
        <v>1586</v>
      </c>
      <c r="G27">
        <f t="shared" si="2"/>
        <v>5.4319999981089495E-3</v>
      </c>
      <c r="I27">
        <f t="shared" si="5"/>
        <v>5.4319999981089495E-3</v>
      </c>
      <c r="O27">
        <f t="shared" ca="1" si="3"/>
        <v>-2.0315975011065135E-2</v>
      </c>
      <c r="Q27" s="2">
        <f t="shared" si="4"/>
        <v>21828.964999999997</v>
      </c>
    </row>
    <row r="28" spans="1:17" x14ac:dyDescent="0.2">
      <c r="A28" s="45" t="s">
        <v>57</v>
      </c>
      <c r="B28" s="47" t="s">
        <v>37</v>
      </c>
      <c r="C28" s="58">
        <v>36847.51</v>
      </c>
      <c r="D28" s="46" t="s">
        <v>51</v>
      </c>
      <c r="E28">
        <f t="shared" si="0"/>
        <v>1586.0075893652579</v>
      </c>
      <c r="F28">
        <f t="shared" si="1"/>
        <v>1586</v>
      </c>
      <c r="G28">
        <f t="shared" si="2"/>
        <v>5.0432000003638677E-2</v>
      </c>
      <c r="I28">
        <f t="shared" si="5"/>
        <v>5.0432000003638677E-2</v>
      </c>
      <c r="O28">
        <f t="shared" ca="1" si="3"/>
        <v>-2.0315975011065135E-2</v>
      </c>
      <c r="Q28" s="2">
        <f t="shared" si="4"/>
        <v>21829.010000000002</v>
      </c>
    </row>
    <row r="29" spans="1:17" x14ac:dyDescent="0.2">
      <c r="A29" s="45" t="s">
        <v>57</v>
      </c>
      <c r="B29" s="47" t="s">
        <v>37</v>
      </c>
      <c r="C29" s="58">
        <v>37578.459000000003</v>
      </c>
      <c r="D29" s="46" t="s">
        <v>51</v>
      </c>
      <c r="E29">
        <f t="shared" si="0"/>
        <v>1696.0059821630659</v>
      </c>
      <c r="F29">
        <f t="shared" si="1"/>
        <v>1696</v>
      </c>
      <c r="G29">
        <f t="shared" si="2"/>
        <v>3.9752000004227739E-2</v>
      </c>
      <c r="I29">
        <f t="shared" si="5"/>
        <v>3.9752000004227739E-2</v>
      </c>
      <c r="O29">
        <f t="shared" ca="1" si="3"/>
        <v>2.7502821524452714E-3</v>
      </c>
      <c r="Q29" s="2">
        <f t="shared" si="4"/>
        <v>22559.959000000003</v>
      </c>
    </row>
    <row r="30" spans="1:17" x14ac:dyDescent="0.2">
      <c r="A30" s="45" t="s">
        <v>57</v>
      </c>
      <c r="B30" s="47" t="s">
        <v>37</v>
      </c>
      <c r="C30" s="58">
        <v>37578.512000000002</v>
      </c>
      <c r="D30" s="46" t="s">
        <v>51</v>
      </c>
      <c r="E30">
        <f t="shared" si="0"/>
        <v>1696.0139579791876</v>
      </c>
      <c r="F30">
        <f t="shared" si="1"/>
        <v>1696</v>
      </c>
      <c r="G30">
        <f t="shared" si="2"/>
        <v>9.2752000004111324E-2</v>
      </c>
      <c r="I30">
        <f t="shared" si="5"/>
        <v>9.2752000004111324E-2</v>
      </c>
      <c r="O30">
        <f t="shared" ca="1" si="3"/>
        <v>2.7502821524452714E-3</v>
      </c>
      <c r="Q30" s="2">
        <f t="shared" si="4"/>
        <v>22560.012000000002</v>
      </c>
    </row>
    <row r="31" spans="1:17" x14ac:dyDescent="0.2">
      <c r="A31" s="45" t="s">
        <v>85</v>
      </c>
      <c r="B31" s="47" t="s">
        <v>86</v>
      </c>
      <c r="C31" s="58">
        <v>54067.32</v>
      </c>
      <c r="D31" s="46" t="s">
        <v>51</v>
      </c>
      <c r="E31">
        <f t="shared" si="0"/>
        <v>4177.3668008610266</v>
      </c>
      <c r="F31">
        <f t="shared" si="1"/>
        <v>4177.5</v>
      </c>
      <c r="G31">
        <f t="shared" si="2"/>
        <v>-0.88511999999900581</v>
      </c>
      <c r="I31">
        <f t="shared" si="5"/>
        <v>-0.88511999999900581</v>
      </c>
      <c r="O31">
        <f t="shared" ca="1" si="3"/>
        <v>0.52310407443654561</v>
      </c>
      <c r="Q31" s="2">
        <f t="shared" si="4"/>
        <v>39048.82</v>
      </c>
    </row>
    <row r="32" spans="1:17" x14ac:dyDescent="0.2">
      <c r="A32" s="48" t="s">
        <v>87</v>
      </c>
      <c r="B32" s="49" t="s">
        <v>37</v>
      </c>
      <c r="C32" s="59">
        <v>58049.974499999997</v>
      </c>
      <c r="D32" s="50" t="s">
        <v>50</v>
      </c>
      <c r="E32">
        <f t="shared" si="0"/>
        <v>4776.7049134638992</v>
      </c>
      <c r="F32">
        <f t="shared" si="1"/>
        <v>4776.5</v>
      </c>
      <c r="G32">
        <f t="shared" si="2"/>
        <v>1.361667999997735</v>
      </c>
      <c r="K32">
        <f t="shared" ref="K32:K38" si="6">+G32</f>
        <v>1.361667999997735</v>
      </c>
      <c r="O32">
        <f t="shared" ca="1" si="3"/>
        <v>0.6487103293542068</v>
      </c>
      <c r="Q32" s="2">
        <f t="shared" si="4"/>
        <v>43031.474499999997</v>
      </c>
    </row>
    <row r="33" spans="1:17" x14ac:dyDescent="0.2">
      <c r="A33" s="48" t="s">
        <v>87</v>
      </c>
      <c r="B33" s="49" t="s">
        <v>37</v>
      </c>
      <c r="C33" s="59">
        <v>58049.977400000003</v>
      </c>
      <c r="D33" s="50" t="s">
        <v>88</v>
      </c>
      <c r="E33">
        <f t="shared" si="0"/>
        <v>4776.7053498764808</v>
      </c>
      <c r="F33">
        <f t="shared" si="1"/>
        <v>4776.5</v>
      </c>
      <c r="G33">
        <f t="shared" si="2"/>
        <v>1.3645680000045104</v>
      </c>
      <c r="K33">
        <f t="shared" si="6"/>
        <v>1.3645680000045104</v>
      </c>
      <c r="O33">
        <f t="shared" ca="1" si="3"/>
        <v>0.6487103293542068</v>
      </c>
      <c r="Q33" s="2">
        <f t="shared" si="4"/>
        <v>43031.477400000003</v>
      </c>
    </row>
    <row r="34" spans="1:17" x14ac:dyDescent="0.2">
      <c r="A34" s="48" t="s">
        <v>87</v>
      </c>
      <c r="B34" s="49" t="s">
        <v>37</v>
      </c>
      <c r="C34" s="59">
        <v>58049.978799999997</v>
      </c>
      <c r="D34" s="50" t="s">
        <v>89</v>
      </c>
      <c r="E34">
        <f t="shared" si="0"/>
        <v>4776.7055605584146</v>
      </c>
      <c r="F34">
        <f t="shared" si="1"/>
        <v>4776.5</v>
      </c>
      <c r="G34">
        <f t="shared" si="2"/>
        <v>1.3659679999982473</v>
      </c>
      <c r="K34">
        <f t="shared" si="6"/>
        <v>1.3659679999982473</v>
      </c>
      <c r="O34">
        <f t="shared" ca="1" si="3"/>
        <v>0.6487103293542068</v>
      </c>
      <c r="Q34" s="2">
        <f t="shared" si="4"/>
        <v>43031.478799999997</v>
      </c>
    </row>
    <row r="35" spans="1:17" x14ac:dyDescent="0.2">
      <c r="A35" s="51" t="s">
        <v>90</v>
      </c>
      <c r="B35" s="52" t="s">
        <v>37</v>
      </c>
      <c r="C35" s="60">
        <v>59076.192000000003</v>
      </c>
      <c r="D35" s="53" t="s">
        <v>88</v>
      </c>
      <c r="E35">
        <f t="shared" si="0"/>
        <v>4931.1374055542983</v>
      </c>
      <c r="F35">
        <f t="shared" si="1"/>
        <v>4931</v>
      </c>
      <c r="G35">
        <f t="shared" si="2"/>
        <v>0.91307200000301236</v>
      </c>
      <c r="K35">
        <f t="shared" si="6"/>
        <v>0.91307200000301236</v>
      </c>
      <c r="O35">
        <f t="shared" ca="1" si="3"/>
        <v>0.68110793600659181</v>
      </c>
      <c r="Q35" s="2">
        <f t="shared" si="4"/>
        <v>44057.692000000003</v>
      </c>
    </row>
    <row r="36" spans="1:17" x14ac:dyDescent="0.2">
      <c r="A36" s="51" t="s">
        <v>90</v>
      </c>
      <c r="B36" s="52" t="s">
        <v>37</v>
      </c>
      <c r="C36" s="60">
        <v>59076.192999999999</v>
      </c>
      <c r="D36" s="53" t="s">
        <v>91</v>
      </c>
      <c r="E36">
        <f t="shared" si="0"/>
        <v>4931.1375560413944</v>
      </c>
      <c r="F36">
        <f t="shared" si="1"/>
        <v>4931</v>
      </c>
      <c r="G36">
        <f t="shared" si="2"/>
        <v>0.91407199999957811</v>
      </c>
      <c r="K36">
        <f t="shared" si="6"/>
        <v>0.91407199999957811</v>
      </c>
      <c r="O36">
        <f t="shared" ca="1" si="3"/>
        <v>0.68110793600659181</v>
      </c>
      <c r="Q36" s="2">
        <f t="shared" si="4"/>
        <v>44057.692999999999</v>
      </c>
    </row>
    <row r="37" spans="1:17" x14ac:dyDescent="0.2">
      <c r="A37" s="51" t="s">
        <v>90</v>
      </c>
      <c r="B37" s="52" t="s">
        <v>37</v>
      </c>
      <c r="C37" s="60">
        <v>59076.192999999999</v>
      </c>
      <c r="D37" s="53" t="s">
        <v>50</v>
      </c>
      <c r="E37">
        <f t="shared" si="0"/>
        <v>4931.1375560413944</v>
      </c>
      <c r="F37">
        <f t="shared" si="1"/>
        <v>4931</v>
      </c>
      <c r="G37">
        <f t="shared" si="2"/>
        <v>0.91407199999957811</v>
      </c>
      <c r="K37">
        <f t="shared" si="6"/>
        <v>0.91407199999957811</v>
      </c>
      <c r="O37">
        <f t="shared" ca="1" si="3"/>
        <v>0.68110793600659181</v>
      </c>
      <c r="Q37" s="2">
        <f t="shared" si="4"/>
        <v>44057.692999999999</v>
      </c>
    </row>
    <row r="38" spans="1:17" x14ac:dyDescent="0.2">
      <c r="A38" s="51" t="s">
        <v>90</v>
      </c>
      <c r="B38" s="52" t="s">
        <v>37</v>
      </c>
      <c r="C38" s="60">
        <v>59076.196000000004</v>
      </c>
      <c r="D38" s="53" t="s">
        <v>89</v>
      </c>
      <c r="E38">
        <f t="shared" si="0"/>
        <v>4931.1380075026855</v>
      </c>
      <c r="F38">
        <f t="shared" si="1"/>
        <v>4931</v>
      </c>
      <c r="G38">
        <f t="shared" si="2"/>
        <v>0.91707200000382727</v>
      </c>
      <c r="K38">
        <f t="shared" si="6"/>
        <v>0.91707200000382727</v>
      </c>
      <c r="O38">
        <f t="shared" ca="1" si="3"/>
        <v>0.68110793600659181</v>
      </c>
      <c r="Q38" s="2">
        <f t="shared" si="4"/>
        <v>44057.696000000004</v>
      </c>
    </row>
    <row r="39" spans="1:17" x14ac:dyDescent="0.2">
      <c r="A39" s="54" t="s">
        <v>92</v>
      </c>
      <c r="B39" s="54" t="s">
        <v>37</v>
      </c>
      <c r="C39" s="61">
        <v>59929.458999999799</v>
      </c>
      <c r="D39" s="62">
        <v>5.0000000000000001E-3</v>
      </c>
      <c r="E39">
        <f t="shared" ref="E39" si="7">+(C39-C$7)/C$8</f>
        <v>5059.5430790382006</v>
      </c>
      <c r="F39">
        <f t="shared" ref="F39" si="8">ROUND(2*E39,0)/2</f>
        <v>5059.5</v>
      </c>
      <c r="G39">
        <f t="shared" ref="G39" si="9">+C39-(C$7+F39*C$8)</f>
        <v>0.28626399979839334</v>
      </c>
      <c r="K39">
        <f t="shared" ref="K39" si="10">+G39</f>
        <v>0.28626399979839334</v>
      </c>
      <c r="O39">
        <f t="shared" ref="O39" ca="1" si="11">+C$11+C$12*$F39</f>
        <v>0.7080535182385107</v>
      </c>
      <c r="Q39" s="2">
        <f t="shared" ref="Q39" si="12">+C39-15018.5</f>
        <v>44910.958999999799</v>
      </c>
    </row>
    <row r="40" spans="1:17" x14ac:dyDescent="0.2">
      <c r="C40" s="55"/>
      <c r="D40" s="10"/>
    </row>
    <row r="41" spans="1:17" x14ac:dyDescent="0.2">
      <c r="C41" s="55"/>
      <c r="D41" s="10"/>
    </row>
    <row r="42" spans="1:17" x14ac:dyDescent="0.2">
      <c r="C42" s="55"/>
      <c r="D42" s="10"/>
    </row>
    <row r="43" spans="1:17" x14ac:dyDescent="0.2">
      <c r="C43" s="55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5:D38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9"/>
  <sheetViews>
    <sheetView workbookViewId="0">
      <selection activeCell="A11" sqref="A11:D1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0" t="s">
        <v>41</v>
      </c>
      <c r="I1" s="31" t="s">
        <v>42</v>
      </c>
      <c r="J1" s="32" t="s">
        <v>43</v>
      </c>
    </row>
    <row r="2" spans="1:16" x14ac:dyDescent="0.2">
      <c r="I2" s="33" t="s">
        <v>44</v>
      </c>
      <c r="J2" s="34" t="s">
        <v>45</v>
      </c>
    </row>
    <row r="3" spans="1:16" x14ac:dyDescent="0.2">
      <c r="A3" s="35" t="s">
        <v>46</v>
      </c>
      <c r="I3" s="33" t="s">
        <v>47</v>
      </c>
      <c r="J3" s="34" t="s">
        <v>48</v>
      </c>
    </row>
    <row r="4" spans="1:16" x14ac:dyDescent="0.2">
      <c r="I4" s="33" t="s">
        <v>49</v>
      </c>
      <c r="J4" s="34" t="s">
        <v>48</v>
      </c>
    </row>
    <row r="5" spans="1:16" ht="13.5" thickBot="1" x14ac:dyDescent="0.25">
      <c r="I5" s="36" t="s">
        <v>50</v>
      </c>
      <c r="J5" s="37" t="s">
        <v>51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 MVS 651 </v>
      </c>
      <c r="B11" s="3" t="str">
        <f t="shared" ref="B11:B19" si="1">IF(H11=INT(H11),"I","II")</f>
        <v>I</v>
      </c>
      <c r="C11" s="10">
        <f t="shared" ref="C11:C19" si="2">1*G11</f>
        <v>26308.415000000001</v>
      </c>
      <c r="D11" s="12" t="str">
        <f t="shared" ref="D11:D19" si="3">VLOOKUP(F11,I$1:J$5,2,FALSE)</f>
        <v>vis</v>
      </c>
      <c r="E11" s="38">
        <f>VLOOKUP(C11,Active!C$21:E$973,3,FALSE)</f>
        <v>9.7816612815854811E-3</v>
      </c>
      <c r="F11" s="3" t="s">
        <v>50</v>
      </c>
      <c r="G11" s="12" t="str">
        <f t="shared" ref="G11:G19" si="4">MID(I11,3,LEN(I11)-3)</f>
        <v>26308.415</v>
      </c>
      <c r="H11" s="10">
        <f t="shared" ref="H11:H19" si="5">1*K11</f>
        <v>0</v>
      </c>
      <c r="I11" s="39" t="s">
        <v>52</v>
      </c>
      <c r="J11" s="40" t="s">
        <v>53</v>
      </c>
      <c r="K11" s="39">
        <v>0</v>
      </c>
      <c r="L11" s="39" t="s">
        <v>54</v>
      </c>
      <c r="M11" s="40" t="s">
        <v>55</v>
      </c>
      <c r="N11" s="40"/>
      <c r="O11" s="41" t="s">
        <v>56</v>
      </c>
      <c r="P11" s="41" t="s">
        <v>57</v>
      </c>
    </row>
    <row r="12" spans="1:16" ht="12.75" customHeight="1" thickBot="1" x14ac:dyDescent="0.25">
      <c r="A12" s="10" t="str">
        <f t="shared" si="0"/>
        <v> MVS 651 </v>
      </c>
      <c r="B12" s="3" t="str">
        <f t="shared" si="1"/>
        <v>I</v>
      </c>
      <c r="C12" s="10">
        <f t="shared" si="2"/>
        <v>36820.603000000003</v>
      </c>
      <c r="D12" s="12" t="str">
        <f t="shared" si="3"/>
        <v>vis</v>
      </c>
      <c r="E12" s="38">
        <f>VLOOKUP(C12,Active!C$21:E$973,3,FALSE)</f>
        <v>1581.9584330561165</v>
      </c>
      <c r="F12" s="3" t="s">
        <v>50</v>
      </c>
      <c r="G12" s="12" t="str">
        <f t="shared" si="4"/>
        <v>36820.603</v>
      </c>
      <c r="H12" s="10">
        <f t="shared" si="5"/>
        <v>1582</v>
      </c>
      <c r="I12" s="39" t="s">
        <v>58</v>
      </c>
      <c r="J12" s="40" t="s">
        <v>59</v>
      </c>
      <c r="K12" s="39">
        <v>1582</v>
      </c>
      <c r="L12" s="39" t="s">
        <v>60</v>
      </c>
      <c r="M12" s="40" t="s">
        <v>55</v>
      </c>
      <c r="N12" s="40"/>
      <c r="O12" s="41" t="s">
        <v>56</v>
      </c>
      <c r="P12" s="41" t="s">
        <v>57</v>
      </c>
    </row>
    <row r="13" spans="1:16" ht="12.75" customHeight="1" thickBot="1" x14ac:dyDescent="0.25">
      <c r="A13" s="10" t="str">
        <f t="shared" si="0"/>
        <v> MVS 651 </v>
      </c>
      <c r="B13" s="3" t="str">
        <f t="shared" si="1"/>
        <v>I</v>
      </c>
      <c r="C13" s="10">
        <f t="shared" si="2"/>
        <v>36840.481</v>
      </c>
      <c r="D13" s="12" t="str">
        <f t="shared" si="3"/>
        <v>vis</v>
      </c>
      <c r="E13" s="38">
        <f>VLOOKUP(C13,Active!C$21:E$973,3,FALSE)</f>
        <v>1584.9498155630145</v>
      </c>
      <c r="F13" s="3" t="s">
        <v>50</v>
      </c>
      <c r="G13" s="12" t="str">
        <f t="shared" si="4"/>
        <v>36840.481</v>
      </c>
      <c r="H13" s="10">
        <f t="shared" si="5"/>
        <v>1585</v>
      </c>
      <c r="I13" s="39" t="s">
        <v>61</v>
      </c>
      <c r="J13" s="40" t="s">
        <v>62</v>
      </c>
      <c r="K13" s="39">
        <v>1585</v>
      </c>
      <c r="L13" s="39" t="s">
        <v>63</v>
      </c>
      <c r="M13" s="40" t="s">
        <v>55</v>
      </c>
      <c r="N13" s="40"/>
      <c r="O13" s="41" t="s">
        <v>56</v>
      </c>
      <c r="P13" s="41" t="s">
        <v>57</v>
      </c>
    </row>
    <row r="14" spans="1:16" ht="12.75" customHeight="1" thickBot="1" x14ac:dyDescent="0.25">
      <c r="A14" s="10" t="str">
        <f t="shared" si="0"/>
        <v> MVS 651 </v>
      </c>
      <c r="B14" s="3" t="str">
        <f t="shared" si="1"/>
        <v>I</v>
      </c>
      <c r="C14" s="10">
        <f t="shared" si="2"/>
        <v>36840.525999999998</v>
      </c>
      <c r="D14" s="12" t="str">
        <f t="shared" si="3"/>
        <v>vis</v>
      </c>
      <c r="E14" s="38">
        <f>VLOOKUP(C14,Active!C$21:E$973,3,FALSE)</f>
        <v>1584.9565874823627</v>
      </c>
      <c r="F14" s="3" t="s">
        <v>50</v>
      </c>
      <c r="G14" s="12" t="str">
        <f t="shared" si="4"/>
        <v>36840.526</v>
      </c>
      <c r="H14" s="10">
        <f t="shared" si="5"/>
        <v>1585</v>
      </c>
      <c r="I14" s="39" t="s">
        <v>64</v>
      </c>
      <c r="J14" s="40" t="s">
        <v>65</v>
      </c>
      <c r="K14" s="39">
        <v>1585</v>
      </c>
      <c r="L14" s="39" t="s">
        <v>66</v>
      </c>
      <c r="M14" s="40" t="s">
        <v>55</v>
      </c>
      <c r="N14" s="40"/>
      <c r="O14" s="41" t="s">
        <v>56</v>
      </c>
      <c r="P14" s="41" t="s">
        <v>57</v>
      </c>
    </row>
    <row r="15" spans="1:16" ht="12.75" customHeight="1" thickBot="1" x14ac:dyDescent="0.25">
      <c r="A15" s="10" t="str">
        <f t="shared" si="0"/>
        <v> MVS 651 </v>
      </c>
      <c r="B15" s="3" t="str">
        <f t="shared" si="1"/>
        <v>I</v>
      </c>
      <c r="C15" s="10">
        <f t="shared" si="2"/>
        <v>36847.464999999997</v>
      </c>
      <c r="D15" s="12" t="str">
        <f t="shared" si="3"/>
        <v>vis</v>
      </c>
      <c r="E15" s="38">
        <f>VLOOKUP(C15,Active!C$21:E$973,3,FALSE)</f>
        <v>1586.0008174459085</v>
      </c>
      <c r="F15" s="3" t="s">
        <v>50</v>
      </c>
      <c r="G15" s="12" t="str">
        <f t="shared" si="4"/>
        <v>36847.465</v>
      </c>
      <c r="H15" s="10">
        <f t="shared" si="5"/>
        <v>1586</v>
      </c>
      <c r="I15" s="39" t="s">
        <v>67</v>
      </c>
      <c r="J15" s="40" t="s">
        <v>68</v>
      </c>
      <c r="K15" s="39">
        <v>1586</v>
      </c>
      <c r="L15" s="39" t="s">
        <v>69</v>
      </c>
      <c r="M15" s="40" t="s">
        <v>55</v>
      </c>
      <c r="N15" s="40"/>
      <c r="O15" s="41" t="s">
        <v>56</v>
      </c>
      <c r="P15" s="41" t="s">
        <v>57</v>
      </c>
    </row>
    <row r="16" spans="1:16" ht="12.75" customHeight="1" thickBot="1" x14ac:dyDescent="0.25">
      <c r="A16" s="10" t="str">
        <f t="shared" si="0"/>
        <v> MVS 651 </v>
      </c>
      <c r="B16" s="3" t="str">
        <f t="shared" si="1"/>
        <v>I</v>
      </c>
      <c r="C16" s="10">
        <f t="shared" si="2"/>
        <v>36847.51</v>
      </c>
      <c r="D16" s="12" t="str">
        <f t="shared" si="3"/>
        <v>vis</v>
      </c>
      <c r="E16" s="38">
        <f>VLOOKUP(C16,Active!C$21:E$973,3,FALSE)</f>
        <v>1586.0075893652579</v>
      </c>
      <c r="F16" s="3" t="s">
        <v>50</v>
      </c>
      <c r="G16" s="12" t="str">
        <f t="shared" si="4"/>
        <v>36847.510</v>
      </c>
      <c r="H16" s="10">
        <f t="shared" si="5"/>
        <v>1586</v>
      </c>
      <c r="I16" s="39" t="s">
        <v>70</v>
      </c>
      <c r="J16" s="40" t="s">
        <v>71</v>
      </c>
      <c r="K16" s="39">
        <v>1586</v>
      </c>
      <c r="L16" s="39" t="s">
        <v>72</v>
      </c>
      <c r="M16" s="40" t="s">
        <v>55</v>
      </c>
      <c r="N16" s="40"/>
      <c r="O16" s="41" t="s">
        <v>56</v>
      </c>
      <c r="P16" s="41" t="s">
        <v>57</v>
      </c>
    </row>
    <row r="17" spans="1:16" ht="12.75" customHeight="1" thickBot="1" x14ac:dyDescent="0.25">
      <c r="A17" s="10" t="str">
        <f t="shared" si="0"/>
        <v> MVS 651 </v>
      </c>
      <c r="B17" s="3" t="str">
        <f t="shared" si="1"/>
        <v>I</v>
      </c>
      <c r="C17" s="10">
        <f t="shared" si="2"/>
        <v>37578.459000000003</v>
      </c>
      <c r="D17" s="12" t="str">
        <f t="shared" si="3"/>
        <v>vis</v>
      </c>
      <c r="E17" s="38">
        <f>VLOOKUP(C17,Active!C$21:E$973,3,FALSE)</f>
        <v>1696.0059821630659</v>
      </c>
      <c r="F17" s="3" t="s">
        <v>50</v>
      </c>
      <c r="G17" s="12" t="str">
        <f t="shared" si="4"/>
        <v>37578.459</v>
      </c>
      <c r="H17" s="10">
        <f t="shared" si="5"/>
        <v>1696</v>
      </c>
      <c r="I17" s="39" t="s">
        <v>73</v>
      </c>
      <c r="J17" s="40" t="s">
        <v>74</v>
      </c>
      <c r="K17" s="39">
        <v>1696</v>
      </c>
      <c r="L17" s="39" t="s">
        <v>75</v>
      </c>
      <c r="M17" s="40" t="s">
        <v>55</v>
      </c>
      <c r="N17" s="40"/>
      <c r="O17" s="41" t="s">
        <v>56</v>
      </c>
      <c r="P17" s="41" t="s">
        <v>57</v>
      </c>
    </row>
    <row r="18" spans="1:16" ht="12.75" customHeight="1" thickBot="1" x14ac:dyDescent="0.25">
      <c r="A18" s="10" t="str">
        <f t="shared" si="0"/>
        <v> MVS 651 </v>
      </c>
      <c r="B18" s="3" t="str">
        <f t="shared" si="1"/>
        <v>I</v>
      </c>
      <c r="C18" s="10">
        <f t="shared" si="2"/>
        <v>37578.512000000002</v>
      </c>
      <c r="D18" s="12" t="str">
        <f t="shared" si="3"/>
        <v>vis</v>
      </c>
      <c r="E18" s="38">
        <f>VLOOKUP(C18,Active!C$21:E$973,3,FALSE)</f>
        <v>1696.0139579791876</v>
      </c>
      <c r="F18" s="3" t="s">
        <v>50</v>
      </c>
      <c r="G18" s="12" t="str">
        <f t="shared" si="4"/>
        <v>37578.512</v>
      </c>
      <c r="H18" s="10">
        <f t="shared" si="5"/>
        <v>1696</v>
      </c>
      <c r="I18" s="39" t="s">
        <v>76</v>
      </c>
      <c r="J18" s="40" t="s">
        <v>77</v>
      </c>
      <c r="K18" s="39">
        <v>1696</v>
      </c>
      <c r="L18" s="39" t="s">
        <v>78</v>
      </c>
      <c r="M18" s="40" t="s">
        <v>55</v>
      </c>
      <c r="N18" s="40"/>
      <c r="O18" s="41" t="s">
        <v>56</v>
      </c>
      <c r="P18" s="41" t="s">
        <v>57</v>
      </c>
    </row>
    <row r="19" spans="1:16" ht="12.75" customHeight="1" thickBot="1" x14ac:dyDescent="0.25">
      <c r="A19" s="10" t="str">
        <f t="shared" si="0"/>
        <v>OEJV 0073 </v>
      </c>
      <c r="B19" s="3" t="str">
        <f t="shared" si="1"/>
        <v>II</v>
      </c>
      <c r="C19" s="10">
        <f t="shared" si="2"/>
        <v>54067.32</v>
      </c>
      <c r="D19" s="12" t="str">
        <f t="shared" si="3"/>
        <v>vis</v>
      </c>
      <c r="E19" s="38">
        <f>VLOOKUP(C19,Active!C$21:E$973,3,FALSE)</f>
        <v>4177.3668008610266</v>
      </c>
      <c r="F19" s="3" t="s">
        <v>50</v>
      </c>
      <c r="G19" s="12" t="str">
        <f t="shared" si="4"/>
        <v>54067.320</v>
      </c>
      <c r="H19" s="10">
        <f t="shared" si="5"/>
        <v>4177.5</v>
      </c>
      <c r="I19" s="39" t="s">
        <v>79</v>
      </c>
      <c r="J19" s="40" t="s">
        <v>80</v>
      </c>
      <c r="K19" s="39">
        <v>4177.5</v>
      </c>
      <c r="L19" s="39" t="s">
        <v>81</v>
      </c>
      <c r="M19" s="40" t="s">
        <v>82</v>
      </c>
      <c r="N19" s="40" t="s">
        <v>83</v>
      </c>
      <c r="O19" s="41" t="s">
        <v>84</v>
      </c>
      <c r="P19" s="42" t="s">
        <v>85</v>
      </c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</sheetData>
  <phoneticPr fontId="7" type="noConversion"/>
  <hyperlinks>
    <hyperlink ref="P19" r:id="rId1" display="http://var.astro.cz/oejv/issues/oejv0073.pdf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2024-01-26T02:52:55Z</dcterms:modified>
</cp:coreProperties>
</file>