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D2A9766-A691-4484-9464-59985186224D}" xr6:coauthVersionLast="47" xr6:coauthVersionMax="47" xr10:uidLastSave="{00000000-0000-0000-0000-000000000000}"/>
  <bookViews>
    <workbookView xWindow="14205" yWindow="81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E47" i="1"/>
  <c r="F47" i="1" s="1"/>
  <c r="G47" i="1" s="1"/>
  <c r="K47" i="1" s="1"/>
  <c r="Q47" i="1"/>
  <c r="E33" i="1"/>
  <c r="F33" i="1"/>
  <c r="E41" i="1"/>
  <c r="F41" i="1"/>
  <c r="Q44" i="1"/>
  <c r="Q42" i="1"/>
  <c r="Q43" i="1"/>
  <c r="D9" i="1"/>
  <c r="C9" i="1"/>
  <c r="Q45" i="1"/>
  <c r="E22" i="1"/>
  <c r="F22" i="1"/>
  <c r="Q41" i="1"/>
  <c r="C7" i="1"/>
  <c r="E44" i="1"/>
  <c r="F44" i="1"/>
  <c r="C8" i="1"/>
  <c r="G24" i="2"/>
  <c r="C24" i="2"/>
  <c r="G23" i="2"/>
  <c r="C23" i="2"/>
  <c r="E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25" i="2"/>
  <c r="C25" i="2"/>
  <c r="E25" i="2"/>
  <c r="G13" i="2"/>
  <c r="C13" i="2"/>
  <c r="G12" i="2"/>
  <c r="C12" i="2"/>
  <c r="G11" i="2"/>
  <c r="C11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25" i="2"/>
  <c r="D25" i="2"/>
  <c r="B25" i="2"/>
  <c r="A25" i="2"/>
  <c r="H13" i="2"/>
  <c r="D13" i="2"/>
  <c r="B13" i="2"/>
  <c r="A13" i="2"/>
  <c r="H12" i="2"/>
  <c r="D12" i="2"/>
  <c r="B12" i="2"/>
  <c r="A12" i="2"/>
  <c r="H11" i="2"/>
  <c r="D11" i="2"/>
  <c r="B11" i="2"/>
  <c r="A11" i="2"/>
  <c r="Q39" i="1"/>
  <c r="Q40" i="1"/>
  <c r="Q37" i="1"/>
  <c r="Q36" i="1"/>
  <c r="Q38" i="1"/>
  <c r="Q35" i="1"/>
  <c r="Q34" i="1"/>
  <c r="Q31" i="1"/>
  <c r="Q32" i="1"/>
  <c r="Q30" i="1"/>
  <c r="Q29" i="1"/>
  <c r="Q28" i="1"/>
  <c r="Q27" i="1"/>
  <c r="F16" i="1"/>
  <c r="F17" i="1" s="1"/>
  <c r="C17" i="1"/>
  <c r="Q33" i="1"/>
  <c r="Q21" i="1"/>
  <c r="Q26" i="1"/>
  <c r="Q23" i="1"/>
  <c r="Q24" i="1"/>
  <c r="Q25" i="1"/>
  <c r="Q22" i="1"/>
  <c r="E14" i="2"/>
  <c r="E11" i="2"/>
  <c r="E12" i="2"/>
  <c r="E17" i="2"/>
  <c r="E13" i="2"/>
  <c r="E27" i="1"/>
  <c r="F27" i="1"/>
  <c r="E30" i="1"/>
  <c r="F30" i="1"/>
  <c r="E38" i="1"/>
  <c r="F38" i="1"/>
  <c r="G38" i="1"/>
  <c r="J38" i="1"/>
  <c r="G32" i="1"/>
  <c r="J32" i="1"/>
  <c r="G26" i="1"/>
  <c r="J26" i="1"/>
  <c r="E24" i="1"/>
  <c r="F24" i="1"/>
  <c r="G24" i="1"/>
  <c r="K24" i="1"/>
  <c r="E43" i="1"/>
  <c r="F43" i="1"/>
  <c r="G43" i="1"/>
  <c r="K43" i="1"/>
  <c r="E35" i="1"/>
  <c r="F35" i="1"/>
  <c r="G35" i="1"/>
  <c r="J35" i="1"/>
  <c r="G42" i="1"/>
  <c r="K42" i="1"/>
  <c r="E40" i="1"/>
  <c r="F40" i="1"/>
  <c r="G40" i="1"/>
  <c r="K40" i="1"/>
  <c r="E32" i="1"/>
  <c r="F32" i="1"/>
  <c r="E26" i="1"/>
  <c r="F26" i="1"/>
  <c r="G31" i="1"/>
  <c r="K31" i="1"/>
  <c r="E29" i="1"/>
  <c r="F29" i="1"/>
  <c r="G29" i="1"/>
  <c r="J29" i="1"/>
  <c r="G39" i="1"/>
  <c r="K39" i="1"/>
  <c r="E37" i="1"/>
  <c r="F37" i="1"/>
  <c r="G37" i="1"/>
  <c r="K37" i="1"/>
  <c r="E23" i="1"/>
  <c r="F23" i="1"/>
  <c r="G23" i="1"/>
  <c r="K23" i="1"/>
  <c r="E42" i="1"/>
  <c r="F42" i="1"/>
  <c r="G36" i="1"/>
  <c r="K36" i="1"/>
  <c r="E34" i="1"/>
  <c r="F34" i="1"/>
  <c r="G34" i="1"/>
  <c r="K34" i="1"/>
  <c r="G44" i="1"/>
  <c r="K44" i="1"/>
  <c r="E21" i="1"/>
  <c r="F21" i="1"/>
  <c r="G21" i="1"/>
  <c r="J21" i="1"/>
  <c r="G22" i="1"/>
  <c r="I22" i="1"/>
  <c r="E31" i="1"/>
  <c r="F31" i="1"/>
  <c r="G41" i="1"/>
  <c r="K41" i="1"/>
  <c r="E39" i="1"/>
  <c r="F39" i="1"/>
  <c r="G33" i="1"/>
  <c r="K33" i="1"/>
  <c r="G27" i="1"/>
  <c r="J27" i="1"/>
  <c r="E25" i="1"/>
  <c r="F25" i="1"/>
  <c r="G25" i="1"/>
  <c r="J25" i="1"/>
  <c r="G30" i="1"/>
  <c r="J30" i="1"/>
  <c r="E28" i="1"/>
  <c r="F28" i="1"/>
  <c r="G28" i="1"/>
  <c r="E45" i="1"/>
  <c r="F45" i="1"/>
  <c r="G45" i="1"/>
  <c r="K45" i="1"/>
  <c r="E36" i="1"/>
  <c r="F36" i="1"/>
  <c r="J28" i="1"/>
  <c r="E19" i="2"/>
  <c r="E22" i="2"/>
  <c r="E24" i="2"/>
  <c r="E21" i="2"/>
  <c r="E16" i="2"/>
  <c r="E18" i="2"/>
  <c r="E15" i="2"/>
  <c r="C12" i="1"/>
  <c r="C11" i="1"/>
  <c r="O47" i="1" l="1"/>
  <c r="O46" i="1"/>
  <c r="O30" i="1"/>
  <c r="O29" i="1"/>
  <c r="O44" i="1"/>
  <c r="O21" i="1"/>
  <c r="O45" i="1"/>
  <c r="O37" i="1"/>
  <c r="O23" i="1"/>
  <c r="O38" i="1"/>
  <c r="O42" i="1"/>
  <c r="O35" i="1"/>
  <c r="O26" i="1"/>
  <c r="O32" i="1"/>
  <c r="O41" i="1"/>
  <c r="C15" i="1"/>
  <c r="O27" i="1"/>
  <c r="O22" i="1"/>
  <c r="O43" i="1"/>
  <c r="O39" i="1"/>
  <c r="O24" i="1"/>
  <c r="O34" i="1"/>
  <c r="O28" i="1"/>
  <c r="O36" i="1"/>
  <c r="O40" i="1"/>
  <c r="O25" i="1"/>
  <c r="O31" i="1"/>
  <c r="O3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<sst xmlns="http://schemas.openxmlformats.org/spreadsheetml/2006/main" count="238" uniqueCount="143">
  <si>
    <t>VSB-66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</si>
  <si>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</si>
  <si>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</si>
  <si>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</si>
  <si>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</si>
  <si>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</si>
  <si>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</si>
  <si>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</si>
  <si>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</si>
  <si>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</si>
  <si>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</si>
  <si>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</si>
  <si>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</si>
  <si>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</si>
  <si>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</si>
  <si>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</si>
  <si>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</si>
  <si>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</si>
  <si>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</si>
  <si>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</si>
  <si>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</si>
  <si>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</si>
  <si>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</si>
  <si>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</si>
  <si>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</si>
  <si>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</si>
  <si>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</si>
  <si>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</si>
  <si>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</si>
  <si>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</si>
  <si>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</si>
  <si>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</si>
  <si>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</si>
  <si>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</si>
  <si>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</si>
  <si>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</si>
  <si>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</si>
  <si>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</si>
  <si>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LT Com / GSC 1995-2249               </t>
  </si>
  <si>
    <t>EB</t>
  </si>
  <si>
    <t>IBVS 5784</t>
  </si>
  <si>
    <t>II</t>
  </si>
  <si>
    <t>IBVS 5802</t>
  </si>
  <si>
    <t>OEJV 0094</t>
  </si>
  <si>
    <t>IBVS 5038</t>
  </si>
  <si>
    <t>Add cycle</t>
  </si>
  <si>
    <t>Old Cycle</t>
  </si>
  <si>
    <t>IBVS 5918</t>
  </si>
  <si>
    <t>IBVS 6010</t>
  </si>
  <si>
    <t>IBVS 6050</t>
  </si>
  <si>
    <t>OEJV 0160</t>
  </si>
  <si>
    <t>IBVS 6048</t>
  </si>
  <si>
    <t>IBVS 6118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</si>
  <si>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</si>
  <si>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</si>
  <si>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</si>
  <si>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</si>
  <si>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</si>
  <si>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</si>
  <si>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</si>
  <si>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</si>
  <si>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</si>
  <si>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</si>
  <si>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</si>
  <si>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</si>
  <si>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</si>
  <si>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2453056.2297 </t>
  </si>
  <si>
    <t> 20.02.2004 17:30 </t>
  </si>
  <si>
    <t> -0.0033 </t>
  </si>
  <si>
    <t>C </t>
  </si>
  <si>
    <t> M.Lewandowski et al. </t>
  </si>
  <si>
    <t>IBVS 5784 </t>
  </si>
  <si>
    <t>2453056.4913 </t>
  </si>
  <si>
    <t> 20.02.2004 23:47 </t>
  </si>
  <si>
    <t> 0.0023 </t>
  </si>
  <si>
    <t>2454187.3672 </t>
  </si>
  <si>
    <t> 27.03.2007 20:48 </t>
  </si>
  <si>
    <t> -0.0024 </t>
  </si>
  <si>
    <t>-I</t>
  </si>
  <si>
    <t> F.Agerer </t>
  </si>
  <si>
    <t>BAVM 186 </t>
  </si>
  <si>
    <t>2454581.3973 </t>
  </si>
  <si>
    <t> 24.04.2008 21:32 </t>
  </si>
  <si>
    <t>4064.5</t>
  </si>
  <si>
    <t> -0.0011 </t>
  </si>
  <si>
    <t>R</t>
  </si>
  <si>
    <t> R.Ehrenberger </t>
  </si>
  <si>
    <t>OEJV 0094 </t>
  </si>
  <si>
    <t>2454933.4407 </t>
  </si>
  <si>
    <t> 11.04.2009 22:34 </t>
  </si>
  <si>
    <t>4752</t>
  </si>
  <si>
    <t>BAVM 209 </t>
  </si>
  <si>
    <t>2454937.5337 </t>
  </si>
  <si>
    <t> 16.04.2009 00:48 </t>
  </si>
  <si>
    <t>4760</t>
  </si>
  <si>
    <t>2455662.3544 </t>
  </si>
  <si>
    <t> 10.04.2011 20:30 </t>
  </si>
  <si>
    <t>6175.5</t>
  </si>
  <si>
    <t> 0.0012 </t>
  </si>
  <si>
    <t>BAVM 220 </t>
  </si>
  <si>
    <t>2455662.6115 </t>
  </si>
  <si>
    <t> 11.04.2011 02:40 </t>
  </si>
  <si>
    <t>6176</t>
  </si>
  <si>
    <t>2455673.36039 </t>
  </si>
  <si>
    <t> 21.04.2011 20:38 </t>
  </si>
  <si>
    <t>6197</t>
  </si>
  <si>
    <t> -0.00208 </t>
  </si>
  <si>
    <t> M.Lehky </t>
  </si>
  <si>
    <t>OEJV 0160 </t>
  </si>
  <si>
    <t>2455675.4067 </t>
  </si>
  <si>
    <t> 23.04.2011 21:45 </t>
  </si>
  <si>
    <t>6201</t>
  </si>
  <si>
    <t> -0.0040 </t>
  </si>
  <si>
    <t>2455992.8843 </t>
  </si>
  <si>
    <t> 06.03.2012 09:13 </t>
  </si>
  <si>
    <t>6821</t>
  </si>
  <si>
    <t> -0.0025 </t>
  </si>
  <si>
    <t> R.Nelson </t>
  </si>
  <si>
    <t>IBVS 6050 </t>
  </si>
  <si>
    <t>2455996.46905 </t>
  </si>
  <si>
    <t> 09.03.2012 23:15 </t>
  </si>
  <si>
    <t>6828</t>
  </si>
  <si>
    <t> -0.00214 </t>
  </si>
  <si>
    <t>2456008.5039 </t>
  </si>
  <si>
    <t> 22.03.2012 00:05 </t>
  </si>
  <si>
    <t>6851.5</t>
  </si>
  <si>
    <t> -0.0007 </t>
  </si>
  <si>
    <t>BAVM 228 </t>
  </si>
  <si>
    <t>2456406.36347 </t>
  </si>
  <si>
    <t> 23.04.2013 20:43 </t>
  </si>
  <si>
    <t>7628.5</t>
  </si>
  <si>
    <t> -0.01031 </t>
  </si>
  <si>
    <t>2456642.6864 </t>
  </si>
  <si>
    <t> 16.12.2013 04:28 </t>
  </si>
  <si>
    <t>8090</t>
  </si>
  <si>
    <t> -0.0022 </t>
  </si>
  <si>
    <t>o</t>
  </si>
  <si>
    <t> W.Moschner &amp; P.Frank </t>
  </si>
  <si>
    <t>BAVM 234 </t>
  </si>
  <si>
    <t>BAD?</t>
  </si>
  <si>
    <t>OEJV 0179</t>
  </si>
  <si>
    <t>RHN 2019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</si>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</sst>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5" fillId="0" borderId="0" xfId="0" applyFont="1" applyAlignment="1"/>
    <xf numFmtId="0" fontId="35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5" fillId="0" borderId="0" xfId="42" applyFont="1" applyAlignment="1">
      <alignment horizont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Com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Active!$D$21:$D$218</c:f>
                <c:numCache>
                  <c:formatCode>General</c:formatCode>
                  <c:ptCount val="19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plus>
            <c:minus>
              <c:numRef>
                <c:f>Active!$D$21:$D$218</c:f>
                <c:numCache>
                  <c:formatCode>General</c:formatCode>
                  <c:ptCount val="19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C-42D7-9556-0726851C90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C-42D7-9556-0726851C90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0">
                  <c:v>-3.4475000065867789E-3</c:v>
                </c:pt>
                <c:pt idx="4">
                  <c:v>-1.2625000017578714E-3</c:v>
                </c:pt>
                <c:pt idx="5">
                  <c:v>6.2124999385559931E-4</c:v>
                </c:pt>
                <c:pt idx="6">
                  <c:v>4.4599999964702874E-3</c:v>
                </c:pt>
                <c:pt idx="7">
                  <c:v>9.9999999656574801E-4</c:v>
                </c:pt>
                <c:pt idx="8">
                  <c:v>4.3087499943794683E-3</c:v>
                </c:pt>
                <c:pt idx="9">
                  <c:v>5.3799999950570054E-3</c:v>
                </c:pt>
                <c:pt idx="11">
                  <c:v>-8.575000028940849E-4</c:v>
                </c:pt>
                <c:pt idx="14">
                  <c:v>2.9387500035227276E-3</c:v>
                </c:pt>
                <c:pt idx="17">
                  <c:v>2.2249999965424649E-3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C-42D7-9556-0726851C90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2">
                  <c:v>-3.7450000017997809E-3</c:v>
                </c:pt>
                <c:pt idx="3">
                  <c:v>1.8262500016135164E-3</c:v>
                </c:pt>
                <c:pt idx="10">
                  <c:v>1.0624999995343387E-3</c:v>
                </c:pt>
                <c:pt idx="12">
                  <c:v>1.0924999951384962E-3</c:v>
                </c:pt>
                <c:pt idx="13">
                  <c:v>1.4399999927263707E-3</c:v>
                </c:pt>
                <c:pt idx="15">
                  <c:v>1.0612499972921796E-3</c:v>
                </c:pt>
                <c:pt idx="16">
                  <c:v>2.9149999973014928E-3</c:v>
                </c:pt>
                <c:pt idx="18">
                  <c:v>2.3087500012479722E-3</c:v>
                </c:pt>
                <c:pt idx="19">
                  <c:v>2.0574999944074079E-3</c:v>
                </c:pt>
                <c:pt idx="20">
                  <c:v>-3.7000000156695023E-4</c:v>
                </c:pt>
                <c:pt idx="21">
                  <c:v>1.472500000090804E-3</c:v>
                </c:pt>
                <c:pt idx="22">
                  <c:v>2.8499999461928383E-4</c:v>
                </c:pt>
                <c:pt idx="23">
                  <c:v>-1.9124997852486558E-3</c:v>
                </c:pt>
                <c:pt idx="24">
                  <c:v>-5.1250000979052857E-4</c:v>
                </c:pt>
                <c:pt idx="25">
                  <c:v>-5.8600000047590584E-3</c:v>
                </c:pt>
                <c:pt idx="26">
                  <c:v>-1.2887500051874667E-3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C-42D7-9556-0726851C90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C-42D7-9556-0726851C90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C-42D7-9556-0726851C90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1.4E-3</c:v>
                  </c:pt>
                  <c:pt idx="2">
                    <c:v>3.3999999999999998E-3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2E-3</c:v>
                  </c:pt>
                  <c:pt idx="7">
                    <c:v>2.5000000000000001E-3</c:v>
                  </c:pt>
                  <c:pt idx="8">
                    <c:v>3.0999999999999999E-3</c:v>
                  </c:pt>
                  <c:pt idx="9">
                    <c:v>1.6999999999999999E-3</c:v>
                  </c:pt>
                  <c:pt idx="10">
                    <c:v>2.0000000000000001E-4</c:v>
                  </c:pt>
                  <c:pt idx="11">
                    <c:v>7.9000000000000008E-3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2.5000000000000001E-3</c:v>
                  </c:pt>
                  <c:pt idx="15">
                    <c:v>4.8999999999999998E-4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1.4E-3</c:v>
                  </c:pt>
                  <c:pt idx="22">
                    <c:v>2.2000000000000001E-3</c:v>
                  </c:pt>
                  <c:pt idx="23">
                    <c:v>0</c:v>
                  </c:pt>
                  <c:pt idx="24">
                    <c:v>2.0000000000000001E-4</c:v>
                  </c:pt>
                  <c:pt idx="25">
                    <c:v>3.2000000000000002E-3</c:v>
                  </c:pt>
                  <c:pt idx="26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CC-42D7-9556-0726851C90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8.1991104102627031E-3</c:v>
                </c:pt>
                <c:pt idx="1">
                  <c:v>6.6021220216071061E-3</c:v>
                </c:pt>
                <c:pt idx="2">
                  <c:v>5.8755491728094611E-3</c:v>
                </c:pt>
                <c:pt idx="3">
                  <c:v>5.8752146549232746E-3</c:v>
                </c:pt>
                <c:pt idx="4">
                  <c:v>4.3976491516363519E-3</c:v>
                </c:pt>
                <c:pt idx="5">
                  <c:v>3.8828261247949268E-3</c:v>
                </c:pt>
                <c:pt idx="6">
                  <c:v>3.4228640312881308E-3</c:v>
                </c:pt>
                <c:pt idx="7">
                  <c:v>3.4175117451091426E-3</c:v>
                </c:pt>
                <c:pt idx="8">
                  <c:v>2.4704916093144227E-3</c:v>
                </c:pt>
                <c:pt idx="9">
                  <c:v>2.4701570914282354E-3</c:v>
                </c:pt>
                <c:pt idx="10">
                  <c:v>2.4561073402083917E-3</c:v>
                </c:pt>
                <c:pt idx="11">
                  <c:v>2.4534311971188974E-3</c:v>
                </c:pt>
                <c:pt idx="12">
                  <c:v>2.0386290182473144E-3</c:v>
                </c:pt>
                <c:pt idx="13">
                  <c:v>2.0339457678406996E-3</c:v>
                </c:pt>
                <c:pt idx="14">
                  <c:v>2.0182234271899219E-3</c:v>
                </c:pt>
                <c:pt idx="15">
                  <c:v>1.4983826320556955E-3</c:v>
                </c:pt>
                <c:pt idx="16">
                  <c:v>1.4277993580702891E-3</c:v>
                </c:pt>
                <c:pt idx="17">
                  <c:v>1.1896226231053152E-3</c:v>
                </c:pt>
                <c:pt idx="18">
                  <c:v>1.0762210596880033E-3</c:v>
                </c:pt>
                <c:pt idx="19">
                  <c:v>1.0658510052162133E-3</c:v>
                </c:pt>
                <c:pt idx="20">
                  <c:v>5.4065792390299919E-4</c:v>
                </c:pt>
                <c:pt idx="21">
                  <c:v>-3.8060433465534043E-4</c:v>
                </c:pt>
                <c:pt idx="22">
                  <c:v>-4.1071094441214907E-4</c:v>
                </c:pt>
                <c:pt idx="23">
                  <c:v>-7.5392629563976552E-4</c:v>
                </c:pt>
                <c:pt idx="24">
                  <c:v>-1.2891549135385831E-3</c:v>
                </c:pt>
                <c:pt idx="25">
                  <c:v>-2.2880253216922509E-3</c:v>
                </c:pt>
                <c:pt idx="26">
                  <c:v>-2.2883598395784374E-3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CC-42D7-9556-0726851C905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-2387</c:v>
                </c:pt>
                <c:pt idx="1">
                  <c:v>0</c:v>
                </c:pt>
                <c:pt idx="2">
                  <c:v>1086</c:v>
                </c:pt>
                <c:pt idx="3">
                  <c:v>1086.5</c:v>
                </c:pt>
                <c:pt idx="4">
                  <c:v>3295</c:v>
                </c:pt>
                <c:pt idx="5">
                  <c:v>4064.5</c:v>
                </c:pt>
                <c:pt idx="6">
                  <c:v>4752</c:v>
                </c:pt>
                <c:pt idx="7">
                  <c:v>4760</c:v>
                </c:pt>
                <c:pt idx="8">
                  <c:v>6175.5</c:v>
                </c:pt>
                <c:pt idx="9">
                  <c:v>6176</c:v>
                </c:pt>
                <c:pt idx="10">
                  <c:v>6197</c:v>
                </c:pt>
                <c:pt idx="11">
                  <c:v>6201</c:v>
                </c:pt>
                <c:pt idx="12">
                  <c:v>6821</c:v>
                </c:pt>
                <c:pt idx="13">
                  <c:v>6828</c:v>
                </c:pt>
                <c:pt idx="14">
                  <c:v>6851.5</c:v>
                </c:pt>
                <c:pt idx="15">
                  <c:v>7628.5</c:v>
                </c:pt>
                <c:pt idx="16">
                  <c:v>7734</c:v>
                </c:pt>
                <c:pt idx="17">
                  <c:v>8090</c:v>
                </c:pt>
                <c:pt idx="18">
                  <c:v>8259.5</c:v>
                </c:pt>
                <c:pt idx="19">
                  <c:v>8275</c:v>
                </c:pt>
                <c:pt idx="20">
                  <c:v>9060</c:v>
                </c:pt>
                <c:pt idx="21">
                  <c:v>10437</c:v>
                </c:pt>
                <c:pt idx="22">
                  <c:v>10482</c:v>
                </c:pt>
                <c:pt idx="23">
                  <c:v>10995</c:v>
                </c:pt>
                <c:pt idx="24">
                  <c:v>11795</c:v>
                </c:pt>
                <c:pt idx="25">
                  <c:v>13288</c:v>
                </c:pt>
                <c:pt idx="26">
                  <c:v>13288.5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CC-42D7-9556-0726851C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84792"/>
        <c:axId val="1"/>
      </c:scatterChart>
      <c:valAx>
        <c:axId val="93258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584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A20BBF-F5EA-CF21-4AC4-14FFA40C6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784" TargetMode="External"/><Relationship Id="rId1" Type="http://schemas.openxmlformats.org/officeDocument/2006/relationships/hyperlink" Target="http://www.konkoly.hu/cgi-bin/IBVS?5784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094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19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24</v>
      </c>
      <c r="B2" t="s">
        <v>39</v>
      </c>
      <c r="C2" s="3"/>
      <c r="D2" s="3"/>
    </row>
    <row r="3" spans="1:6" ht="13.5" thickBot="1"/>
    <row r="4" spans="1:6" ht="14.25" thickTop="1" thickBot="1">
      <c r="A4" s="5" t="s">
        <v>37</v>
      </c>
      <c r="C4" s="8">
        <v>52500.139000000003</v>
      </c>
      <c r="D4" s="9">
        <v>0.51205750000000005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>
        <f>C4</f>
        <v>52500.139000000003</v>
      </c>
    </row>
    <row r="8" spans="1:6">
      <c r="A8" t="s">
        <v>4</v>
      </c>
      <c r="C8">
        <f>D4</f>
        <v>0.51205750000000005</v>
      </c>
      <c r="D8" s="28"/>
    </row>
    <row r="9" spans="1:6">
      <c r="A9" s="26" t="s">
        <v>34</v>
      </c>
      <c r="B9" s="27">
        <v>28</v>
      </c>
      <c r="C9" s="24" t="str">
        <f>"F"&amp;B9</f>
        <v>F28</v>
      </c>
      <c r="D9" s="25" t="str">
        <f>"G"&amp;B9</f>
        <v>G28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INTERCEPT(INDIRECT($D$9):G988,INDIRECT($C$9):F988)</f>
        <v>6.6021220216071061E-3</v>
      </c>
      <c r="D11" s="3"/>
      <c r="E11" s="12"/>
    </row>
    <row r="12" spans="1:6">
      <c r="A12" s="12" t="s">
        <v>17</v>
      </c>
      <c r="B12" s="12"/>
      <c r="C12" s="23">
        <f ca="1">SLOPE(INDIRECT($D$9):G988,INDIRECT($C$9):F988)</f>
        <v>-6.6903577237352176E-7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(C7+C11)+(C8+C12)*INT(MAX(F21:F3529))</f>
        <v>59304.356771974679</v>
      </c>
      <c r="E15" s="16" t="s">
        <v>45</v>
      </c>
      <c r="F15" s="13">
        <v>1</v>
      </c>
    </row>
    <row r="16" spans="1:6">
      <c r="A16" s="18" t="s">
        <v>5</v>
      </c>
      <c r="B16" s="12"/>
      <c r="C16" s="19">
        <f ca="1">+C8+C12</f>
        <v>0.51205683096422772</v>
      </c>
      <c r="E16" s="16" t="s">
        <v>31</v>
      </c>
      <c r="F16" s="17">
        <f ca="1">NOW()+15018.5+$C$5/24</f>
        <v>59955.822156712959</v>
      </c>
    </row>
    <row r="17" spans="1:21" ht="13.5" thickBot="1">
      <c r="A17" s="16" t="s">
        <v>28</v>
      </c>
      <c r="B17" s="12"/>
      <c r="C17" s="12">
        <f>COUNT(C21:C2187)</f>
        <v>27</v>
      </c>
      <c r="E17" s="16" t="s">
        <v>46</v>
      </c>
      <c r="F17" s="17">
        <f ca="1">ROUND(2*(F16-$C$7)/$C$8,0)/2+F15</f>
        <v>14561</v>
      </c>
    </row>
    <row r="18" spans="1:21" ht="14.25" thickTop="1" thickBot="1">
      <c r="A18" s="18" t="s">
        <v>6</v>
      </c>
      <c r="B18" s="12"/>
      <c r="C18" s="21">
        <f ca="1">+C15</f>
        <v>59304.356771974679</v>
      </c>
      <c r="D18" s="22">
        <f ca="1">+C16</f>
        <v>0.51205683096422772</v>
      </c>
      <c r="E18" s="16" t="s">
        <v>32</v>
      </c>
      <c r="F18" s="25">
        <f ca="1">ROUND(2*(F16-$C$15)/$C$16,0)/2+F15</f>
        <v>1273.5</v>
      </c>
    </row>
    <row r="19" spans="1:21" ht="13.5" thickTop="1">
      <c r="E19" s="16" t="s">
        <v>33</v>
      </c>
      <c r="F19" s="20">
        <f ca="1">+$C$15+$C$16*F18-15018.5-$C$5/24</f>
        <v>44938.356979540957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8" t="s">
        <v>139</v>
      </c>
    </row>
    <row r="21" spans="1:21">
      <c r="A21" s="37" t="s">
        <v>44</v>
      </c>
      <c r="B21" s="38" t="s">
        <v>35</v>
      </c>
      <c r="C21" s="37">
        <v>51277.854299999999</v>
      </c>
      <c r="D21" s="37">
        <v>1.4E-3</v>
      </c>
      <c r="E21">
        <f t="shared" ref="E21:E31" si="0">+(C21-C$7)/C$8</f>
        <v>-2387.0067326423373</v>
      </c>
      <c r="F21">
        <f t="shared" ref="F21:F31" si="1">ROUND(2*E21,0)/2</f>
        <v>-2387</v>
      </c>
      <c r="G21">
        <f t="shared" ref="G21:G31" si="2">+C21-(C$7+F21*C$8)</f>
        <v>-3.4475000065867789E-3</v>
      </c>
      <c r="J21">
        <f>+G21</f>
        <v>-3.4475000065867789E-3</v>
      </c>
      <c r="O21">
        <f t="shared" ref="O21:O31" ca="1" si="3">+C$11+C$12*$F21</f>
        <v>8.1991104102627031E-3</v>
      </c>
      <c r="Q21" s="2">
        <f t="shared" ref="Q21:Q31" si="4">+C21-15018.5</f>
        <v>36259.354299999999</v>
      </c>
    </row>
    <row r="22" spans="1:21">
      <c r="A22" s="30" t="s">
        <v>36</v>
      </c>
      <c r="B22" s="29" t="s">
        <v>35</v>
      </c>
      <c r="C22" s="30">
        <v>52500.139000000003</v>
      </c>
      <c r="D22" s="39"/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6.6021220216071061E-3</v>
      </c>
      <c r="Q22" s="2">
        <f t="shared" si="4"/>
        <v>37481.639000000003</v>
      </c>
    </row>
    <row r="23" spans="1:21">
      <c r="A23" s="31" t="s">
        <v>40</v>
      </c>
      <c r="B23" s="32" t="s">
        <v>35</v>
      </c>
      <c r="C23" s="33">
        <v>53056.229700000004</v>
      </c>
      <c r="D23" s="33">
        <v>3.3999999999999998E-3</v>
      </c>
      <c r="E23">
        <f t="shared" si="0"/>
        <v>1085.9926863682313</v>
      </c>
      <c r="F23">
        <f t="shared" si="1"/>
        <v>1086</v>
      </c>
      <c r="G23">
        <f t="shared" si="2"/>
        <v>-3.7450000017997809E-3</v>
      </c>
      <c r="K23">
        <f>+G23</f>
        <v>-3.7450000017997809E-3</v>
      </c>
      <c r="O23">
        <f t="shared" ca="1" si="3"/>
        <v>5.8755491728094611E-3</v>
      </c>
      <c r="Q23" s="2">
        <f t="shared" si="4"/>
        <v>38037.729700000004</v>
      </c>
    </row>
    <row r="24" spans="1:21">
      <c r="A24" s="31" t="s">
        <v>40</v>
      </c>
      <c r="B24" s="32" t="s">
        <v>41</v>
      </c>
      <c r="C24" s="33">
        <v>53056.491300000002</v>
      </c>
      <c r="D24" s="33">
        <v>1.1000000000000001E-3</v>
      </c>
      <c r="E24">
        <f t="shared" si="0"/>
        <v>1086.5035664939944</v>
      </c>
      <c r="F24">
        <f t="shared" si="1"/>
        <v>1086.5</v>
      </c>
      <c r="G24">
        <f t="shared" si="2"/>
        <v>1.8262500016135164E-3</v>
      </c>
      <c r="K24">
        <f>+G24</f>
        <v>1.8262500016135164E-3</v>
      </c>
      <c r="O24">
        <f t="shared" ca="1" si="3"/>
        <v>5.8752146549232746E-3</v>
      </c>
      <c r="Q24" s="2">
        <f t="shared" si="4"/>
        <v>38037.991300000002</v>
      </c>
    </row>
    <row r="25" spans="1:21">
      <c r="A25" s="30" t="s">
        <v>42</v>
      </c>
      <c r="B25" s="32"/>
      <c r="C25" s="30">
        <v>54187.367200000001</v>
      </c>
      <c r="D25" s="30">
        <v>5.9999999999999995E-4</v>
      </c>
      <c r="E25">
        <f t="shared" si="0"/>
        <v>3294.9975344565746</v>
      </c>
      <c r="F25">
        <f t="shared" si="1"/>
        <v>3295</v>
      </c>
      <c r="G25">
        <f t="shared" si="2"/>
        <v>-1.2625000017578714E-3</v>
      </c>
      <c r="J25">
        <f t="shared" ref="J25:J30" si="5">+G25</f>
        <v>-1.2625000017578714E-3</v>
      </c>
      <c r="O25">
        <f t="shared" ca="1" si="3"/>
        <v>4.3976491516363519E-3</v>
      </c>
      <c r="Q25" s="2">
        <f t="shared" si="4"/>
        <v>39168.867200000001</v>
      </c>
    </row>
    <row r="26" spans="1:21">
      <c r="A26" s="30" t="s">
        <v>43</v>
      </c>
      <c r="B26" s="29" t="s">
        <v>41</v>
      </c>
      <c r="C26" s="30">
        <v>54581.39733</v>
      </c>
      <c r="D26" s="30">
        <v>2.0000000000000001E-4</v>
      </c>
      <c r="E26">
        <f t="shared" si="0"/>
        <v>4064.5012132426468</v>
      </c>
      <c r="F26">
        <f t="shared" si="1"/>
        <v>4064.5</v>
      </c>
      <c r="G26">
        <f t="shared" si="2"/>
        <v>6.2124999385559931E-4</v>
      </c>
      <c r="J26">
        <f t="shared" si="5"/>
        <v>6.2124999385559931E-4</v>
      </c>
      <c r="O26">
        <f t="shared" ca="1" si="3"/>
        <v>3.8828261247949268E-3</v>
      </c>
      <c r="Q26" s="2">
        <f t="shared" si="4"/>
        <v>39562.89733</v>
      </c>
    </row>
    <row r="27" spans="1:21">
      <c r="A27" s="31" t="s">
        <v>47</v>
      </c>
      <c r="B27" s="34" t="s">
        <v>35</v>
      </c>
      <c r="C27" s="31">
        <v>54933.440699999999</v>
      </c>
      <c r="D27" s="31">
        <v>2E-3</v>
      </c>
      <c r="E27">
        <f t="shared" si="0"/>
        <v>4752.0087099593229</v>
      </c>
      <c r="F27">
        <f t="shared" si="1"/>
        <v>4752</v>
      </c>
      <c r="G27">
        <f t="shared" si="2"/>
        <v>4.4599999964702874E-3</v>
      </c>
      <c r="J27">
        <f t="shared" si="5"/>
        <v>4.4599999964702874E-3</v>
      </c>
      <c r="O27">
        <f t="shared" ca="1" si="3"/>
        <v>3.4228640312881308E-3</v>
      </c>
      <c r="Q27" s="2">
        <f t="shared" si="4"/>
        <v>39914.940699999999</v>
      </c>
    </row>
    <row r="28" spans="1:21">
      <c r="A28" s="31" t="s">
        <v>47</v>
      </c>
      <c r="B28" s="34" t="s">
        <v>35</v>
      </c>
      <c r="C28" s="31">
        <v>54937.5337</v>
      </c>
      <c r="D28" s="31">
        <v>2.5000000000000001E-3</v>
      </c>
      <c r="E28">
        <f t="shared" si="0"/>
        <v>4760.0019529056735</v>
      </c>
      <c r="F28">
        <f t="shared" si="1"/>
        <v>4760</v>
      </c>
      <c r="G28">
        <f t="shared" si="2"/>
        <v>9.9999999656574801E-4</v>
      </c>
      <c r="J28">
        <f t="shared" si="5"/>
        <v>9.9999999656574801E-4</v>
      </c>
      <c r="O28">
        <f t="shared" ca="1" si="3"/>
        <v>3.4175117451091426E-3</v>
      </c>
      <c r="Q28" s="2">
        <f t="shared" si="4"/>
        <v>39919.0337</v>
      </c>
    </row>
    <row r="29" spans="1:21">
      <c r="A29" s="31" t="s">
        <v>48</v>
      </c>
      <c r="B29" s="34" t="s">
        <v>35</v>
      </c>
      <c r="C29" s="31">
        <v>55662.354399999997</v>
      </c>
      <c r="D29" s="31">
        <v>3.0999999999999999E-3</v>
      </c>
      <c r="E29">
        <f t="shared" si="0"/>
        <v>6175.5084145823339</v>
      </c>
      <c r="F29">
        <f t="shared" si="1"/>
        <v>6175.5</v>
      </c>
      <c r="G29">
        <f t="shared" si="2"/>
        <v>4.3087499943794683E-3</v>
      </c>
      <c r="J29">
        <f t="shared" si="5"/>
        <v>4.3087499943794683E-3</v>
      </c>
      <c r="O29">
        <f t="shared" ca="1" si="3"/>
        <v>2.4704916093144227E-3</v>
      </c>
      <c r="Q29" s="2">
        <f t="shared" si="4"/>
        <v>40643.854399999997</v>
      </c>
    </row>
    <row r="30" spans="1:21">
      <c r="A30" s="31" t="s">
        <v>48</v>
      </c>
      <c r="B30" s="34" t="s">
        <v>35</v>
      </c>
      <c r="C30" s="31">
        <v>55662.611499999999</v>
      </c>
      <c r="D30" s="31">
        <v>1.6999999999999999E-3</v>
      </c>
      <c r="E30">
        <f t="shared" si="0"/>
        <v>6176.0105066325477</v>
      </c>
      <c r="F30">
        <f t="shared" si="1"/>
        <v>6176</v>
      </c>
      <c r="G30">
        <f t="shared" si="2"/>
        <v>5.3799999950570054E-3</v>
      </c>
      <c r="J30">
        <f t="shared" si="5"/>
        <v>5.3799999950570054E-3</v>
      </c>
      <c r="O30">
        <f t="shared" ca="1" si="3"/>
        <v>2.4701570914282354E-3</v>
      </c>
      <c r="Q30" s="2">
        <f t="shared" si="4"/>
        <v>40644.111499999999</v>
      </c>
    </row>
    <row r="31" spans="1:21">
      <c r="A31" s="40" t="s">
        <v>50</v>
      </c>
      <c r="B31" s="29" t="s">
        <v>35</v>
      </c>
      <c r="C31" s="30">
        <v>55673.360390000002</v>
      </c>
      <c r="D31" s="30">
        <v>2.0000000000000001E-4</v>
      </c>
      <c r="E31">
        <f t="shared" si="0"/>
        <v>6197.0020749622818</v>
      </c>
      <c r="F31">
        <f t="shared" si="1"/>
        <v>6197</v>
      </c>
      <c r="G31">
        <f t="shared" si="2"/>
        <v>1.0624999995343387E-3</v>
      </c>
      <c r="K31">
        <f>+G31</f>
        <v>1.0624999995343387E-3</v>
      </c>
      <c r="O31">
        <f t="shared" ca="1" si="3"/>
        <v>2.4561073402083917E-3</v>
      </c>
      <c r="Q31" s="2">
        <f t="shared" si="4"/>
        <v>40654.860390000002</v>
      </c>
    </row>
    <row r="32" spans="1:21">
      <c r="A32" s="31" t="s">
        <v>48</v>
      </c>
      <c r="B32" s="34" t="s">
        <v>35</v>
      </c>
      <c r="C32" s="31">
        <v>55675.4067</v>
      </c>
      <c r="D32" s="31">
        <v>7.9000000000000008E-3</v>
      </c>
      <c r="E32">
        <f t="shared" ref="E32:E45" si="6">+(C32-C$7)/C$8</f>
        <v>6200.9983253833725</v>
      </c>
      <c r="F32">
        <f t="shared" ref="F32:F45" si="7">ROUND(2*E32,0)/2</f>
        <v>6201</v>
      </c>
      <c r="G32">
        <f t="shared" ref="G32:G45" si="8">+C32-(C$7+F32*C$8)</f>
        <v>-8.575000028940849E-4</v>
      </c>
      <c r="J32">
        <f>+G32</f>
        <v>-8.575000028940849E-4</v>
      </c>
      <c r="O32">
        <f t="shared" ref="O32:O45" ca="1" si="9">+C$11+C$12*$F32</f>
        <v>2.4534311971188974E-3</v>
      </c>
      <c r="Q32" s="2">
        <f t="shared" ref="Q32:Q45" si="10">+C32-15018.5</f>
        <v>40656.9067</v>
      </c>
    </row>
    <row r="33" spans="1:17">
      <c r="A33" s="35" t="s">
        <v>49</v>
      </c>
      <c r="B33" s="36"/>
      <c r="C33" s="30">
        <v>55992.884299999998</v>
      </c>
      <c r="D33" s="30">
        <v>2.9999999999999997E-4</v>
      </c>
      <c r="E33">
        <f t="shared" si="6"/>
        <v>6821.0021335494448</v>
      </c>
      <c r="F33">
        <f t="shared" si="7"/>
        <v>6821</v>
      </c>
      <c r="G33">
        <f t="shared" si="8"/>
        <v>1.0924999951384962E-3</v>
      </c>
      <c r="K33">
        <f>+G33</f>
        <v>1.0924999951384962E-3</v>
      </c>
      <c r="O33">
        <f t="shared" ca="1" si="9"/>
        <v>2.0386290182473144E-3</v>
      </c>
      <c r="Q33" s="2">
        <f t="shared" si="10"/>
        <v>40974.384299999998</v>
      </c>
    </row>
    <row r="34" spans="1:17">
      <c r="A34" s="40" t="s">
        <v>50</v>
      </c>
      <c r="B34" s="29" t="s">
        <v>35</v>
      </c>
      <c r="C34" s="30">
        <v>55996.46905</v>
      </c>
      <c r="D34" s="30">
        <v>2.0000000000000001E-4</v>
      </c>
      <c r="E34">
        <f t="shared" si="6"/>
        <v>6828.0028121841715</v>
      </c>
      <c r="F34">
        <f t="shared" si="7"/>
        <v>6828</v>
      </c>
      <c r="G34">
        <f t="shared" si="8"/>
        <v>1.4399999927263707E-3</v>
      </c>
      <c r="K34">
        <f>+G34</f>
        <v>1.4399999927263707E-3</v>
      </c>
      <c r="O34">
        <f t="shared" ca="1" si="9"/>
        <v>2.0339457678406996E-3</v>
      </c>
      <c r="Q34" s="2">
        <f t="shared" si="10"/>
        <v>40977.96905</v>
      </c>
    </row>
    <row r="35" spans="1:17">
      <c r="A35" s="40" t="s">
        <v>51</v>
      </c>
      <c r="B35" s="29" t="s">
        <v>41</v>
      </c>
      <c r="C35" s="30">
        <v>56008.503900000003</v>
      </c>
      <c r="D35" s="30">
        <v>2.5000000000000001E-3</v>
      </c>
      <c r="E35">
        <f t="shared" si="6"/>
        <v>6851.5057391015662</v>
      </c>
      <c r="F35">
        <f t="shared" si="7"/>
        <v>6851.5</v>
      </c>
      <c r="G35">
        <f t="shared" si="8"/>
        <v>2.9387500035227276E-3</v>
      </c>
      <c r="J35">
        <f>+G35</f>
        <v>2.9387500035227276E-3</v>
      </c>
      <c r="O35">
        <f t="shared" ca="1" si="9"/>
        <v>2.0182234271899219E-3</v>
      </c>
      <c r="Q35" s="2">
        <f t="shared" si="10"/>
        <v>40990.003900000003</v>
      </c>
    </row>
    <row r="36" spans="1:17">
      <c r="A36" s="43" t="s">
        <v>53</v>
      </c>
      <c r="B36" s="59"/>
      <c r="C36" s="43">
        <v>56406.370699999999</v>
      </c>
      <c r="D36" s="43">
        <v>4.8999999999999998E-4</v>
      </c>
      <c r="E36" s="61">
        <f t="shared" si="6"/>
        <v>7628.5020725211452</v>
      </c>
      <c r="F36">
        <f t="shared" si="7"/>
        <v>7628.5</v>
      </c>
      <c r="G36">
        <f t="shared" si="8"/>
        <v>1.0612499972921796E-3</v>
      </c>
      <c r="K36">
        <f>+G36</f>
        <v>1.0612499972921796E-3</v>
      </c>
      <c r="O36">
        <f t="shared" ca="1" si="9"/>
        <v>1.4983826320556955E-3</v>
      </c>
      <c r="Q36" s="2">
        <f t="shared" si="10"/>
        <v>41387.870699999999</v>
      </c>
    </row>
    <row r="37" spans="1:17">
      <c r="A37" s="43" t="s">
        <v>54</v>
      </c>
      <c r="B37" s="59" t="s">
        <v>35</v>
      </c>
      <c r="C37" s="60">
        <v>56460.394619999999</v>
      </c>
      <c r="D37" s="43">
        <v>4.0000000000000002E-4</v>
      </c>
      <c r="E37" s="61">
        <f t="shared" si="6"/>
        <v>7734.0056927200476</v>
      </c>
      <c r="F37">
        <f t="shared" si="7"/>
        <v>7734</v>
      </c>
      <c r="G37">
        <f t="shared" si="8"/>
        <v>2.9149999973014928E-3</v>
      </c>
      <c r="K37">
        <f>+G37</f>
        <v>2.9149999973014928E-3</v>
      </c>
      <c r="O37">
        <f t="shared" ca="1" si="9"/>
        <v>1.4277993580702891E-3</v>
      </c>
      <c r="Q37" s="2">
        <f t="shared" si="10"/>
        <v>41441.894619999999</v>
      </c>
    </row>
    <row r="38" spans="1:17">
      <c r="A38" s="41" t="s">
        <v>52</v>
      </c>
      <c r="B38" s="42" t="s">
        <v>35</v>
      </c>
      <c r="C38" s="43">
        <v>56642.686399999999</v>
      </c>
      <c r="D38" s="44">
        <v>2.0000000000000001E-4</v>
      </c>
      <c r="E38" s="61">
        <f t="shared" si="6"/>
        <v>8090.0043452151276</v>
      </c>
      <c r="F38">
        <f t="shared" si="7"/>
        <v>8090</v>
      </c>
      <c r="G38">
        <f t="shared" si="8"/>
        <v>2.2249999965424649E-3</v>
      </c>
      <c r="J38">
        <f>+G38</f>
        <v>2.2249999965424649E-3</v>
      </c>
      <c r="O38">
        <f t="shared" ca="1" si="9"/>
        <v>1.1896226231053152E-3</v>
      </c>
      <c r="Q38" s="2">
        <f t="shared" si="10"/>
        <v>41624.186399999999</v>
      </c>
    </row>
    <row r="39" spans="1:17">
      <c r="A39" s="43" t="s">
        <v>54</v>
      </c>
      <c r="B39" s="59" t="s">
        <v>41</v>
      </c>
      <c r="C39" s="60">
        <v>56729.480230000001</v>
      </c>
      <c r="D39" s="43">
        <v>2.9999999999999997E-4</v>
      </c>
      <c r="E39" s="61">
        <f t="shared" si="6"/>
        <v>8259.5045087709841</v>
      </c>
      <c r="F39">
        <f t="shared" si="7"/>
        <v>8259.5</v>
      </c>
      <c r="G39">
        <f t="shared" si="8"/>
        <v>2.3087500012479722E-3</v>
      </c>
      <c r="K39">
        <f t="shared" ref="K39:K45" si="11">+G39</f>
        <v>2.3087500012479722E-3</v>
      </c>
      <c r="O39">
        <f t="shared" ca="1" si="9"/>
        <v>1.0762210596880033E-3</v>
      </c>
      <c r="Q39" s="2">
        <f t="shared" si="10"/>
        <v>41710.980230000001</v>
      </c>
    </row>
    <row r="40" spans="1:17">
      <c r="A40" s="43" t="s">
        <v>54</v>
      </c>
      <c r="B40" s="59" t="s">
        <v>35</v>
      </c>
      <c r="C40" s="60">
        <v>56737.416870000001</v>
      </c>
      <c r="D40" s="43">
        <v>2.0000000000000001E-4</v>
      </c>
      <c r="E40" s="61">
        <f t="shared" si="6"/>
        <v>8275.004018103431</v>
      </c>
      <c r="F40">
        <f t="shared" si="7"/>
        <v>8275</v>
      </c>
      <c r="G40">
        <f t="shared" si="8"/>
        <v>2.0574999944074079E-3</v>
      </c>
      <c r="K40">
        <f t="shared" si="11"/>
        <v>2.0574999944074079E-3</v>
      </c>
      <c r="O40">
        <f t="shared" ca="1" si="9"/>
        <v>1.0658510052162133E-3</v>
      </c>
      <c r="Q40" s="2">
        <f t="shared" si="10"/>
        <v>41718.916870000001</v>
      </c>
    </row>
    <row r="41" spans="1:17">
      <c r="A41" s="63" t="s">
        <v>140</v>
      </c>
      <c r="B41" s="64" t="s">
        <v>35</v>
      </c>
      <c r="C41" s="65">
        <v>57139.379580000001</v>
      </c>
      <c r="D41" s="65">
        <v>2.9999999999999997E-4</v>
      </c>
      <c r="E41" s="61">
        <f t="shared" si="6"/>
        <v>9059.9992774248931</v>
      </c>
      <c r="F41">
        <f t="shared" si="7"/>
        <v>9060</v>
      </c>
      <c r="G41">
        <f t="shared" si="8"/>
        <v>-3.7000000156695023E-4</v>
      </c>
      <c r="K41">
        <f t="shared" si="11"/>
        <v>-3.7000000156695023E-4</v>
      </c>
      <c r="O41">
        <f t="shared" ca="1" si="9"/>
        <v>5.4065792390299919E-4</v>
      </c>
      <c r="Q41" s="2">
        <f t="shared" si="10"/>
        <v>42120.879580000001</v>
      </c>
    </row>
    <row r="42" spans="1:17">
      <c r="A42" s="65" t="s">
        <v>1</v>
      </c>
      <c r="B42" s="66" t="s">
        <v>35</v>
      </c>
      <c r="C42" s="66">
        <v>57844.484600000003</v>
      </c>
      <c r="D42" s="66">
        <v>1.4E-3</v>
      </c>
      <c r="E42" s="61">
        <f t="shared" si="6"/>
        <v>10437.002875653614</v>
      </c>
      <c r="F42">
        <f t="shared" si="7"/>
        <v>10437</v>
      </c>
      <c r="G42">
        <f t="shared" si="8"/>
        <v>1.472500000090804E-3</v>
      </c>
      <c r="K42">
        <f t="shared" si="11"/>
        <v>1.472500000090804E-3</v>
      </c>
      <c r="O42">
        <f t="shared" ca="1" si="9"/>
        <v>-3.8060433465534043E-4</v>
      </c>
      <c r="Q42" s="2">
        <f t="shared" si="10"/>
        <v>42825.984600000003</v>
      </c>
    </row>
    <row r="43" spans="1:17">
      <c r="A43" s="65" t="s">
        <v>1</v>
      </c>
      <c r="B43" s="66" t="s">
        <v>35</v>
      </c>
      <c r="C43" s="66">
        <v>57867.525999999998</v>
      </c>
      <c r="D43" s="66">
        <v>2.2000000000000001E-3</v>
      </c>
      <c r="E43" s="61">
        <f t="shared" si="6"/>
        <v>10482.000556578108</v>
      </c>
      <c r="F43">
        <f t="shared" si="7"/>
        <v>10482</v>
      </c>
      <c r="G43">
        <f t="shared" si="8"/>
        <v>2.8499999461928383E-4</v>
      </c>
      <c r="K43">
        <f t="shared" si="11"/>
        <v>2.8499999461928383E-4</v>
      </c>
      <c r="O43">
        <f t="shared" ca="1" si="9"/>
        <v>-4.1071094441214907E-4</v>
      </c>
      <c r="Q43" s="2">
        <f t="shared" si="10"/>
        <v>42849.025999999998</v>
      </c>
    </row>
    <row r="44" spans="1:17">
      <c r="A44" s="62" t="s">
        <v>0</v>
      </c>
      <c r="B44" s="67" t="s">
        <v>35</v>
      </c>
      <c r="C44" s="62">
        <v>58130.209300000221</v>
      </c>
      <c r="D44" s="62" t="s">
        <v>14</v>
      </c>
      <c r="E44" s="61">
        <f t="shared" si="6"/>
        <v>10994.996265068312</v>
      </c>
      <c r="F44">
        <f t="shared" si="7"/>
        <v>10995</v>
      </c>
      <c r="G44">
        <f t="shared" si="8"/>
        <v>-1.9124997852486558E-3</v>
      </c>
      <c r="K44">
        <f t="shared" si="11"/>
        <v>-1.9124997852486558E-3</v>
      </c>
      <c r="O44">
        <f t="shared" ca="1" si="9"/>
        <v>-7.5392629563976552E-4</v>
      </c>
      <c r="Q44" s="2">
        <f t="shared" si="10"/>
        <v>43111.709300000221</v>
      </c>
    </row>
    <row r="45" spans="1:17">
      <c r="A45" s="35" t="s">
        <v>141</v>
      </c>
      <c r="B45" s="61"/>
      <c r="C45" s="43">
        <v>58539.856699999997</v>
      </c>
      <c r="D45" s="43">
        <v>2.0000000000000001E-4</v>
      </c>
      <c r="E45" s="61">
        <f t="shared" si="6"/>
        <v>11794.998999135825</v>
      </c>
      <c r="F45">
        <f t="shared" si="7"/>
        <v>11795</v>
      </c>
      <c r="G45">
        <f t="shared" si="8"/>
        <v>-5.1250000979052857E-4</v>
      </c>
      <c r="K45">
        <f t="shared" si="11"/>
        <v>-5.1250000979052857E-4</v>
      </c>
      <c r="O45">
        <f t="shared" ca="1" si="9"/>
        <v>-1.2891549135385831E-3</v>
      </c>
      <c r="Q45" s="2">
        <f t="shared" si="10"/>
        <v>43521.356699999997</v>
      </c>
    </row>
    <row r="46" spans="1:17">
      <c r="A46" s="68" t="s">
        <v>142</v>
      </c>
      <c r="B46" s="69" t="s">
        <v>35</v>
      </c>
      <c r="C46" s="70">
        <v>59304.353199999998</v>
      </c>
      <c r="D46" s="68">
        <v>3.2000000000000002E-3</v>
      </c>
      <c r="E46" s="61">
        <f t="shared" ref="E46:E47" si="12">+(C46-C$7)/C$8</f>
        <v>13287.988555972706</v>
      </c>
      <c r="F46">
        <f t="shared" ref="F46:F47" si="13">ROUND(2*E46,0)/2</f>
        <v>13288</v>
      </c>
      <c r="G46">
        <f t="shared" ref="G46:G47" si="14">+C46-(C$7+F46*C$8)</f>
        <v>-5.8600000047590584E-3</v>
      </c>
      <c r="K46">
        <f t="shared" ref="K46:K47" si="15">+G46</f>
        <v>-5.8600000047590584E-3</v>
      </c>
      <c r="O46">
        <f t="shared" ref="O46:O47" ca="1" si="16">+C$11+C$12*$F46</f>
        <v>-2.2880253216922509E-3</v>
      </c>
      <c r="Q46" s="2">
        <f t="shared" ref="Q46:Q47" si="17">+C46-15018.5</f>
        <v>44285.853199999998</v>
      </c>
    </row>
    <row r="47" spans="1:17">
      <c r="A47" s="68" t="s">
        <v>142</v>
      </c>
      <c r="B47" s="69" t="s">
        <v>35</v>
      </c>
      <c r="C47" s="70">
        <v>59304.613799999999</v>
      </c>
      <c r="D47" s="68">
        <v>2.3E-3</v>
      </c>
      <c r="E47" s="61">
        <f t="shared" si="12"/>
        <v>13288.497483192798</v>
      </c>
      <c r="F47">
        <f t="shared" si="13"/>
        <v>13288.5</v>
      </c>
      <c r="G47">
        <f t="shared" si="14"/>
        <v>-1.2887500051874667E-3</v>
      </c>
      <c r="K47">
        <f t="shared" si="15"/>
        <v>-1.2887500051874667E-3</v>
      </c>
      <c r="O47">
        <f t="shared" ca="1" si="16"/>
        <v>-2.2883598395784374E-3</v>
      </c>
      <c r="Q47" s="2">
        <f t="shared" si="17"/>
        <v>44286.113799999999</v>
      </c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</sheetData>
  <phoneticPr fontId="7" type="noConversion"/>
  <hyperlinks>
    <hyperlink ref="H1367" r:id="rId1" display="http://vsolj.cetus-net.org/bulletin.html"/>
    <hyperlink ref="H64825" r:id="rId2" display="http://vsolj.cetus-net.org/bulletin.html"/>
    <hyperlink ref="H64818" r:id="rId3" display="https://www.aavso.org/ejaavso"/>
    <hyperlink ref="AP969" r:id="rId4" display="http://cdsbib.u-strasbg.fr/cgi-bin/cdsbib?1990RMxAA..21..381G"/>
    <hyperlink ref="AP973" r:id="rId5" display="http://cdsbib.u-strasbg.fr/cgi-bin/cdsbib?1990RMxAA..21..381G"/>
    <hyperlink ref="AP972" r:id="rId6" display="http://cdsbib.u-strasbg.fr/cgi-bin/cdsbib?1990RMxAA..21..381G"/>
    <hyperlink ref="AP953" r:id="rId7" display="http://cdsbib.u-strasbg.fr/cgi-bin/cdsbib?1990RMxAA..21..381G"/>
    <hyperlink ref="I64825" r:id="rId8" display="http://vsolj.cetus-net.org/bulletin.html"/>
    <hyperlink ref="AQ1109" r:id="rId9" display="http://cdsbib.u-strasbg.fr/cgi-bin/cdsbib?1990RMxAA..21..381G"/>
    <hyperlink ref="AQ55875" r:id="rId10" display="http://cdsbib.u-strasbg.fr/cgi-bin/cdsbib?1990RMxAA..21..381G"/>
    <hyperlink ref="AQ1110" r:id="rId11" display="http://cdsbib.u-strasbg.fr/cgi-bin/cdsbib?1990RMxAA..21..381G"/>
    <hyperlink ref="H64822" r:id="rId12" display="https://www.aavso.org/ejaavso"/>
    <hyperlink ref="H1995" r:id="rId13" display="http://vsolj.cetus-net.org/bulletin.html"/>
    <hyperlink ref="AP3239" r:id="rId14" display="http://cdsbib.u-strasbg.fr/cgi-bin/cdsbib?1990RMxAA..21..381G"/>
    <hyperlink ref="AP3242" r:id="rId15" display="http://cdsbib.u-strasbg.fr/cgi-bin/cdsbib?1990RMxAA..21..381G"/>
    <hyperlink ref="AP3240" r:id="rId16" display="http://cdsbib.u-strasbg.fr/cgi-bin/cdsbib?1990RMxAA..21..381G"/>
    <hyperlink ref="AP3224" r:id="rId17" display="http://cdsbib.u-strasbg.fr/cgi-bin/cdsbib?1990RMxAA..21..381G"/>
    <hyperlink ref="I1995" r:id="rId18" display="http://vsolj.cetus-net.org/bulletin.html"/>
    <hyperlink ref="AQ3453" r:id="rId19" display="http://cdsbib.u-strasbg.fr/cgi-bin/cdsbib?1990RMxAA..21..381G"/>
    <hyperlink ref="AQ154" r:id="rId20" display="http://cdsbib.u-strasbg.fr/cgi-bin/cdsbib?1990RMxAA..21..381G"/>
    <hyperlink ref="AQ3457" r:id="rId21" display="http://cdsbib.u-strasbg.fr/cgi-bin/cdsbib?1990RMxAA..21..381G"/>
    <hyperlink ref="H64502" r:id="rId22" display="http://vsolj.cetus-net.org/bulletin.html"/>
    <hyperlink ref="H64495" r:id="rId23" display="https://www.aavso.org/ejaavso"/>
    <hyperlink ref="I64502" r:id="rId24" display="http://vsolj.cetus-net.org/bulletin.html"/>
    <hyperlink ref="AQ58153" r:id="rId25" display="http://cdsbib.u-strasbg.fr/cgi-bin/cdsbib?1990RMxAA..21..381G"/>
    <hyperlink ref="H64499" r:id="rId26" display="https://www.aavso.org/ejaavso"/>
    <hyperlink ref="AP5517" r:id="rId27" display="http://cdsbib.u-strasbg.fr/cgi-bin/cdsbib?1990RMxAA..21..381G"/>
    <hyperlink ref="AP5520" r:id="rId28" display="http://cdsbib.u-strasbg.fr/cgi-bin/cdsbib?1990RMxAA..21..381G"/>
    <hyperlink ref="AP5518" r:id="rId29" display="http://cdsbib.u-strasbg.fr/cgi-bin/cdsbib?1990RMxAA..21..381G"/>
    <hyperlink ref="AP5502" r:id="rId30" display="http://cdsbib.u-strasbg.fr/cgi-bin/cdsbib?1990RMxAA..21..381G"/>
    <hyperlink ref="AQ5731" r:id="rId31" display="http://cdsbib.u-strasbg.fr/cgi-bin/cdsbib?1990RMxAA..21..381G"/>
    <hyperlink ref="AQ5735" r:id="rId32" display="http://cdsbib.u-strasbg.fr/cgi-bin/cdsbib?1990RMxAA..21..381G"/>
    <hyperlink ref="AQ65415" r:id="rId33" display="http://cdsbib.u-strasbg.fr/cgi-bin/cdsbib?1990RMxAA..21..381G"/>
    <hyperlink ref="I2623" r:id="rId34" display="http://vsolj.cetus-net.org/bulletin.html"/>
    <hyperlink ref="H2623" r:id="rId35" display="http://vsolj.cetus-net.org/bulletin.html"/>
    <hyperlink ref="AQ540" r:id="rId36" display="http://cdsbib.u-strasbg.fr/cgi-bin/cdsbib?1990RMxAA..21..381G"/>
    <hyperlink ref="AQ539" r:id="rId37" display="http://cdsbib.u-strasbg.fr/cgi-bin/cdsbib?1990RMxAA..21..381G"/>
    <hyperlink ref="AP3793" r:id="rId38" display="http://cdsbib.u-strasbg.fr/cgi-bin/cdsbib?1990RMxAA..21..381G"/>
    <hyperlink ref="AP3811" r:id="rId39" display="http://cdsbib.u-strasbg.fr/cgi-bin/cdsbib?1990RMxAA..21..381G"/>
    <hyperlink ref="AP3812" r:id="rId40" display="http://cdsbib.u-strasbg.fr/cgi-bin/cdsbib?1990RMxAA..21..381G"/>
    <hyperlink ref="AP3808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0"/>
  <sheetViews>
    <sheetView topLeftCell="A2" workbookViewId="0">
      <selection activeCell="A25" sqref="A25:D25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5" t="s">
        <v>55</v>
      </c>
      <c r="I1" s="46" t="s">
        <v>56</v>
      </c>
      <c r="J1" s="47" t="s">
        <v>57</v>
      </c>
    </row>
    <row r="2" spans="1:16">
      <c r="I2" s="48" t="s">
        <v>58</v>
      </c>
      <c r="J2" s="49" t="s">
        <v>59</v>
      </c>
    </row>
    <row r="3" spans="1:16">
      <c r="A3" s="50" t="s">
        <v>60</v>
      </c>
      <c r="I3" s="48" t="s">
        <v>61</v>
      </c>
      <c r="J3" s="49" t="s">
        <v>62</v>
      </c>
    </row>
    <row r="4" spans="1:16">
      <c r="I4" s="48" t="s">
        <v>63</v>
      </c>
      <c r="J4" s="49" t="s">
        <v>62</v>
      </c>
    </row>
    <row r="5" spans="1:16" ht="13.5" thickBot="1">
      <c r="I5" s="51" t="s">
        <v>64</v>
      </c>
      <c r="J5" s="52" t="s">
        <v>65</v>
      </c>
    </row>
    <row r="10" spans="1:16" ht="13.5" thickBot="1"/>
    <row r="11" spans="1:16" ht="12.75" customHeight="1" thickBot="1">
      <c r="A11" s="10" t="str">
        <f t="shared" ref="A11:A25" si="0">P11</f>
        <v>IBVS 5784 </v>
      </c>
      <c r="B11" s="3" t="str">
        <f t="shared" ref="B11:B25" si="1">IF(H11=INT(H11),"I","II")</f>
        <v>I</v>
      </c>
      <c r="C11" s="10">
        <f t="shared" ref="C11:C25" si="2">1*G11</f>
        <v>53056.229700000004</v>
      </c>
      <c r="D11" s="12" t="str">
        <f t="shared" ref="D11:D25" si="3">VLOOKUP(F11,I$1:J$5,2,FALSE)</f>
        <v>vis</v>
      </c>
      <c r="E11" s="53">
        <f>VLOOKUP(C11,Active!C$21:E$971,3,FALSE)</f>
        <v>1085.9926863682313</v>
      </c>
      <c r="F11" s="3" t="s">
        <v>64</v>
      </c>
      <c r="G11" s="12" t="str">
        <f t="shared" ref="G11:G25" si="4">MID(I11,3,LEN(I11)-3)</f>
        <v>53056.2297</v>
      </c>
      <c r="H11" s="10">
        <f t="shared" ref="H11:H25" si="5">1*K11</f>
        <v>1086</v>
      </c>
      <c r="I11" s="54" t="s">
        <v>66</v>
      </c>
      <c r="J11" s="55" t="s">
        <v>67</v>
      </c>
      <c r="K11" s="54">
        <v>1086</v>
      </c>
      <c r="L11" s="54" t="s">
        <v>68</v>
      </c>
      <c r="M11" s="55" t="s">
        <v>69</v>
      </c>
      <c r="N11" s="55" t="s">
        <v>64</v>
      </c>
      <c r="O11" s="56" t="s">
        <v>70</v>
      </c>
      <c r="P11" s="57" t="s">
        <v>71</v>
      </c>
    </row>
    <row r="12" spans="1:16" ht="12.75" customHeight="1" thickBot="1">
      <c r="A12" s="10" t="str">
        <f t="shared" si="0"/>
        <v>IBVS 5784 </v>
      </c>
      <c r="B12" s="3" t="str">
        <f t="shared" si="1"/>
        <v>II</v>
      </c>
      <c r="C12" s="10">
        <f t="shared" si="2"/>
        <v>53056.491300000002</v>
      </c>
      <c r="D12" s="12" t="str">
        <f t="shared" si="3"/>
        <v>vis</v>
      </c>
      <c r="E12" s="53">
        <f>VLOOKUP(C12,Active!C$21:E$971,3,FALSE)</f>
        <v>1086.5035664939944</v>
      </c>
      <c r="F12" s="3" t="s">
        <v>64</v>
      </c>
      <c r="G12" s="12" t="str">
        <f t="shared" si="4"/>
        <v>53056.4913</v>
      </c>
      <c r="H12" s="10">
        <f t="shared" si="5"/>
        <v>1086.5</v>
      </c>
      <c r="I12" s="54" t="s">
        <v>72</v>
      </c>
      <c r="J12" s="55" t="s">
        <v>73</v>
      </c>
      <c r="K12" s="54">
        <v>1086.5</v>
      </c>
      <c r="L12" s="54" t="s">
        <v>74</v>
      </c>
      <c r="M12" s="55" t="s">
        <v>69</v>
      </c>
      <c r="N12" s="55" t="s">
        <v>64</v>
      </c>
      <c r="O12" s="56" t="s">
        <v>70</v>
      </c>
      <c r="P12" s="57" t="s">
        <v>71</v>
      </c>
    </row>
    <row r="13" spans="1:16" ht="12.75" customHeight="1" thickBot="1">
      <c r="A13" s="10" t="str">
        <f t="shared" si="0"/>
        <v>BAVM 186 </v>
      </c>
      <c r="B13" s="3" t="str">
        <f t="shared" si="1"/>
        <v>I</v>
      </c>
      <c r="C13" s="10">
        <f t="shared" si="2"/>
        <v>54187.367200000001</v>
      </c>
      <c r="D13" s="12" t="str">
        <f t="shared" si="3"/>
        <v>vis</v>
      </c>
      <c r="E13" s="53">
        <f>VLOOKUP(C13,Active!C$21:E$971,3,FALSE)</f>
        <v>3294.9975344565746</v>
      </c>
      <c r="F13" s="3" t="s">
        <v>64</v>
      </c>
      <c r="G13" s="12" t="str">
        <f t="shared" si="4"/>
        <v>54187.3672</v>
      </c>
      <c r="H13" s="10">
        <f t="shared" si="5"/>
        <v>3295</v>
      </c>
      <c r="I13" s="54" t="s">
        <v>75</v>
      </c>
      <c r="J13" s="55" t="s">
        <v>76</v>
      </c>
      <c r="K13" s="54">
        <v>3295</v>
      </c>
      <c r="L13" s="54" t="s">
        <v>77</v>
      </c>
      <c r="M13" s="55" t="s">
        <v>69</v>
      </c>
      <c r="N13" s="55" t="s">
        <v>78</v>
      </c>
      <c r="O13" s="56" t="s">
        <v>79</v>
      </c>
      <c r="P13" s="57" t="s">
        <v>80</v>
      </c>
    </row>
    <row r="14" spans="1:16" ht="12.75" customHeight="1" thickBot="1">
      <c r="A14" s="10" t="str">
        <f t="shared" si="0"/>
        <v>BAVM 209 </v>
      </c>
      <c r="B14" s="3" t="str">
        <f t="shared" si="1"/>
        <v>I</v>
      </c>
      <c r="C14" s="10">
        <f t="shared" si="2"/>
        <v>54933.440699999999</v>
      </c>
      <c r="D14" s="12" t="str">
        <f t="shared" si="3"/>
        <v>vis</v>
      </c>
      <c r="E14" s="53">
        <f>VLOOKUP(C14,Active!C$21:E$971,3,FALSE)</f>
        <v>4752.0087099593229</v>
      </c>
      <c r="F14" s="3" t="s">
        <v>64</v>
      </c>
      <c r="G14" s="12" t="str">
        <f t="shared" si="4"/>
        <v>54933.4407</v>
      </c>
      <c r="H14" s="10">
        <f t="shared" si="5"/>
        <v>4752</v>
      </c>
      <c r="I14" s="54" t="s">
        <v>88</v>
      </c>
      <c r="J14" s="55" t="s">
        <v>89</v>
      </c>
      <c r="K14" s="54" t="s">
        <v>90</v>
      </c>
      <c r="L14" s="54" t="s">
        <v>74</v>
      </c>
      <c r="M14" s="55" t="s">
        <v>69</v>
      </c>
      <c r="N14" s="55" t="s">
        <v>78</v>
      </c>
      <c r="O14" s="56" t="s">
        <v>79</v>
      </c>
      <c r="P14" s="57" t="s">
        <v>91</v>
      </c>
    </row>
    <row r="15" spans="1:16" ht="12.75" customHeight="1" thickBot="1">
      <c r="A15" s="10" t="str">
        <f t="shared" si="0"/>
        <v>BAVM 209 </v>
      </c>
      <c r="B15" s="3" t="str">
        <f t="shared" si="1"/>
        <v>I</v>
      </c>
      <c r="C15" s="10">
        <f t="shared" si="2"/>
        <v>54937.5337</v>
      </c>
      <c r="D15" s="12" t="str">
        <f t="shared" si="3"/>
        <v>vis</v>
      </c>
      <c r="E15" s="53">
        <f>VLOOKUP(C15,Active!C$21:E$971,3,FALSE)</f>
        <v>4760.0019529056735</v>
      </c>
      <c r="F15" s="3" t="s">
        <v>64</v>
      </c>
      <c r="G15" s="12" t="str">
        <f t="shared" si="4"/>
        <v>54937.5337</v>
      </c>
      <c r="H15" s="10">
        <f t="shared" si="5"/>
        <v>4760</v>
      </c>
      <c r="I15" s="54" t="s">
        <v>92</v>
      </c>
      <c r="J15" s="55" t="s">
        <v>93</v>
      </c>
      <c r="K15" s="54" t="s">
        <v>94</v>
      </c>
      <c r="L15" s="54" t="s">
        <v>84</v>
      </c>
      <c r="M15" s="55" t="s">
        <v>69</v>
      </c>
      <c r="N15" s="55" t="s">
        <v>78</v>
      </c>
      <c r="O15" s="56" t="s">
        <v>79</v>
      </c>
      <c r="P15" s="57" t="s">
        <v>91</v>
      </c>
    </row>
    <row r="16" spans="1:16" ht="12.75" customHeight="1" thickBot="1">
      <c r="A16" s="10" t="str">
        <f t="shared" si="0"/>
        <v>BAVM 220 </v>
      </c>
      <c r="B16" s="3" t="str">
        <f t="shared" si="1"/>
        <v>II</v>
      </c>
      <c r="C16" s="10">
        <f t="shared" si="2"/>
        <v>55662.354399999997</v>
      </c>
      <c r="D16" s="12" t="str">
        <f t="shared" si="3"/>
        <v>vis</v>
      </c>
      <c r="E16" s="53">
        <f>VLOOKUP(C16,Active!C$21:E$971,3,FALSE)</f>
        <v>6175.5084145823339</v>
      </c>
      <c r="F16" s="3" t="s">
        <v>64</v>
      </c>
      <c r="G16" s="12" t="str">
        <f t="shared" si="4"/>
        <v>55662.3544</v>
      </c>
      <c r="H16" s="10">
        <f t="shared" si="5"/>
        <v>6175.5</v>
      </c>
      <c r="I16" s="54" t="s">
        <v>95</v>
      </c>
      <c r="J16" s="55" t="s">
        <v>96</v>
      </c>
      <c r="K16" s="54" t="s">
        <v>97</v>
      </c>
      <c r="L16" s="54" t="s">
        <v>98</v>
      </c>
      <c r="M16" s="55" t="s">
        <v>69</v>
      </c>
      <c r="N16" s="55" t="s">
        <v>78</v>
      </c>
      <c r="O16" s="56" t="s">
        <v>79</v>
      </c>
      <c r="P16" s="57" t="s">
        <v>99</v>
      </c>
    </row>
    <row r="17" spans="1:16" ht="12.75" customHeight="1" thickBot="1">
      <c r="A17" s="10" t="str">
        <f t="shared" si="0"/>
        <v>BAVM 220 </v>
      </c>
      <c r="B17" s="3" t="str">
        <f t="shared" si="1"/>
        <v>I</v>
      </c>
      <c r="C17" s="10">
        <f t="shared" si="2"/>
        <v>55662.611499999999</v>
      </c>
      <c r="D17" s="12" t="str">
        <f t="shared" si="3"/>
        <v>vis</v>
      </c>
      <c r="E17" s="53">
        <f>VLOOKUP(C17,Active!C$21:E$971,3,FALSE)</f>
        <v>6176.0105066325477</v>
      </c>
      <c r="F17" s="3" t="s">
        <v>64</v>
      </c>
      <c r="G17" s="12" t="str">
        <f t="shared" si="4"/>
        <v>55662.6115</v>
      </c>
      <c r="H17" s="10">
        <f t="shared" si="5"/>
        <v>6176</v>
      </c>
      <c r="I17" s="54" t="s">
        <v>100</v>
      </c>
      <c r="J17" s="55" t="s">
        <v>101</v>
      </c>
      <c r="K17" s="54" t="s">
        <v>102</v>
      </c>
      <c r="L17" s="54" t="s">
        <v>74</v>
      </c>
      <c r="M17" s="55" t="s">
        <v>69</v>
      </c>
      <c r="N17" s="55" t="s">
        <v>78</v>
      </c>
      <c r="O17" s="56" t="s">
        <v>79</v>
      </c>
      <c r="P17" s="57" t="s">
        <v>99</v>
      </c>
    </row>
    <row r="18" spans="1:16" ht="12.75" customHeight="1" thickBot="1">
      <c r="A18" s="10" t="str">
        <f t="shared" si="0"/>
        <v>OEJV 0160 </v>
      </c>
      <c r="B18" s="3" t="str">
        <f t="shared" si="1"/>
        <v>I</v>
      </c>
      <c r="C18" s="10">
        <f t="shared" si="2"/>
        <v>55673.360390000002</v>
      </c>
      <c r="D18" s="12" t="str">
        <f t="shared" si="3"/>
        <v>vis</v>
      </c>
      <c r="E18" s="53">
        <f>VLOOKUP(C18,Active!C$21:E$971,3,FALSE)</f>
        <v>6197.0020749622818</v>
      </c>
      <c r="F18" s="3" t="s">
        <v>64</v>
      </c>
      <c r="G18" s="12" t="str">
        <f t="shared" si="4"/>
        <v>55673.36039</v>
      </c>
      <c r="H18" s="10">
        <f t="shared" si="5"/>
        <v>6197</v>
      </c>
      <c r="I18" s="54" t="s">
        <v>103</v>
      </c>
      <c r="J18" s="55" t="s">
        <v>104</v>
      </c>
      <c r="K18" s="54" t="s">
        <v>105</v>
      </c>
      <c r="L18" s="54" t="s">
        <v>106</v>
      </c>
      <c r="M18" s="55" t="s">
        <v>69</v>
      </c>
      <c r="N18" s="55" t="s">
        <v>85</v>
      </c>
      <c r="O18" s="56" t="s">
        <v>107</v>
      </c>
      <c r="P18" s="57" t="s">
        <v>108</v>
      </c>
    </row>
    <row r="19" spans="1:16" ht="12.75" customHeight="1" thickBot="1">
      <c r="A19" s="10" t="str">
        <f t="shared" si="0"/>
        <v>BAVM 220 </v>
      </c>
      <c r="B19" s="3" t="str">
        <f t="shared" si="1"/>
        <v>I</v>
      </c>
      <c r="C19" s="10">
        <f t="shared" si="2"/>
        <v>55675.4067</v>
      </c>
      <c r="D19" s="12" t="str">
        <f t="shared" si="3"/>
        <v>vis</v>
      </c>
      <c r="E19" s="53">
        <f>VLOOKUP(C19,Active!C$21:E$971,3,FALSE)</f>
        <v>6200.9983253833725</v>
      </c>
      <c r="F19" s="3" t="s">
        <v>64</v>
      </c>
      <c r="G19" s="12" t="str">
        <f t="shared" si="4"/>
        <v>55675.4067</v>
      </c>
      <c r="H19" s="10">
        <f t="shared" si="5"/>
        <v>6201</v>
      </c>
      <c r="I19" s="54" t="s">
        <v>109</v>
      </c>
      <c r="J19" s="55" t="s">
        <v>110</v>
      </c>
      <c r="K19" s="54" t="s">
        <v>111</v>
      </c>
      <c r="L19" s="54" t="s">
        <v>112</v>
      </c>
      <c r="M19" s="55" t="s">
        <v>69</v>
      </c>
      <c r="N19" s="55" t="s">
        <v>78</v>
      </c>
      <c r="O19" s="56" t="s">
        <v>79</v>
      </c>
      <c r="P19" s="57" t="s">
        <v>99</v>
      </c>
    </row>
    <row r="20" spans="1:16" ht="12.75" customHeight="1" thickBot="1">
      <c r="A20" s="10" t="str">
        <f t="shared" si="0"/>
        <v>IBVS 6050 </v>
      </c>
      <c r="B20" s="3" t="str">
        <f t="shared" si="1"/>
        <v>I</v>
      </c>
      <c r="C20" s="10">
        <f t="shared" si="2"/>
        <v>55992.884299999998</v>
      </c>
      <c r="D20" s="12" t="str">
        <f t="shared" si="3"/>
        <v>vis</v>
      </c>
      <c r="E20" s="53">
        <f>VLOOKUP(C20,Active!C$21:E$971,3,FALSE)</f>
        <v>6821.0021335494448</v>
      </c>
      <c r="F20" s="3" t="s">
        <v>64</v>
      </c>
      <c r="G20" s="12" t="str">
        <f t="shared" si="4"/>
        <v>55992.8843</v>
      </c>
      <c r="H20" s="10">
        <f t="shared" si="5"/>
        <v>6821</v>
      </c>
      <c r="I20" s="54" t="s">
        <v>113</v>
      </c>
      <c r="J20" s="55" t="s">
        <v>114</v>
      </c>
      <c r="K20" s="54" t="s">
        <v>115</v>
      </c>
      <c r="L20" s="54" t="s">
        <v>116</v>
      </c>
      <c r="M20" s="55" t="s">
        <v>69</v>
      </c>
      <c r="N20" s="55" t="s">
        <v>85</v>
      </c>
      <c r="O20" s="56" t="s">
        <v>117</v>
      </c>
      <c r="P20" s="57" t="s">
        <v>118</v>
      </c>
    </row>
    <row r="21" spans="1:16" ht="12.75" customHeight="1" thickBot="1">
      <c r="A21" s="10" t="str">
        <f t="shared" si="0"/>
        <v>OEJV 0160 </v>
      </c>
      <c r="B21" s="3" t="str">
        <f t="shared" si="1"/>
        <v>I</v>
      </c>
      <c r="C21" s="10">
        <f t="shared" si="2"/>
        <v>55996.46905</v>
      </c>
      <c r="D21" s="12" t="str">
        <f t="shared" si="3"/>
        <v>vis</v>
      </c>
      <c r="E21" s="53">
        <f>VLOOKUP(C21,Active!C$21:E$971,3,FALSE)</f>
        <v>6828.0028121841715</v>
      </c>
      <c r="F21" s="3" t="s">
        <v>64</v>
      </c>
      <c r="G21" s="12" t="str">
        <f t="shared" si="4"/>
        <v>55996.46905</v>
      </c>
      <c r="H21" s="10">
        <f t="shared" si="5"/>
        <v>6828</v>
      </c>
      <c r="I21" s="54" t="s">
        <v>119</v>
      </c>
      <c r="J21" s="55" t="s">
        <v>120</v>
      </c>
      <c r="K21" s="54" t="s">
        <v>121</v>
      </c>
      <c r="L21" s="54" t="s">
        <v>122</v>
      </c>
      <c r="M21" s="55" t="s">
        <v>69</v>
      </c>
      <c r="N21" s="55" t="s">
        <v>85</v>
      </c>
      <c r="O21" s="56" t="s">
        <v>107</v>
      </c>
      <c r="P21" s="57" t="s">
        <v>108</v>
      </c>
    </row>
    <row r="22" spans="1:16" ht="12.75" customHeight="1" thickBot="1">
      <c r="A22" s="10" t="str">
        <f t="shared" si="0"/>
        <v>BAVM 228 </v>
      </c>
      <c r="B22" s="3" t="str">
        <f t="shared" si="1"/>
        <v>II</v>
      </c>
      <c r="C22" s="10">
        <f t="shared" si="2"/>
        <v>56008.503900000003</v>
      </c>
      <c r="D22" s="12" t="str">
        <f t="shared" si="3"/>
        <v>vis</v>
      </c>
      <c r="E22" s="53">
        <f>VLOOKUP(C22,Active!C$21:E$971,3,FALSE)</f>
        <v>6851.5057391015662</v>
      </c>
      <c r="F22" s="3" t="s">
        <v>64</v>
      </c>
      <c r="G22" s="12" t="str">
        <f t="shared" si="4"/>
        <v>56008.5039</v>
      </c>
      <c r="H22" s="10">
        <f t="shared" si="5"/>
        <v>6851.5</v>
      </c>
      <c r="I22" s="54" t="s">
        <v>123</v>
      </c>
      <c r="J22" s="55" t="s">
        <v>124</v>
      </c>
      <c r="K22" s="54" t="s">
        <v>125</v>
      </c>
      <c r="L22" s="54" t="s">
        <v>126</v>
      </c>
      <c r="M22" s="55" t="s">
        <v>69</v>
      </c>
      <c r="N22" s="55" t="s">
        <v>64</v>
      </c>
      <c r="O22" s="56" t="s">
        <v>79</v>
      </c>
      <c r="P22" s="57" t="s">
        <v>127</v>
      </c>
    </row>
    <row r="23" spans="1:16" ht="12.75" customHeight="1" thickBot="1">
      <c r="A23" s="10" t="str">
        <f t="shared" si="0"/>
        <v>OEJV 0160 </v>
      </c>
      <c r="B23" s="3" t="str">
        <f t="shared" si="1"/>
        <v>II</v>
      </c>
      <c r="C23" s="10">
        <f t="shared" si="2"/>
        <v>56406.363469999997</v>
      </c>
      <c r="D23" s="12" t="str">
        <f t="shared" si="3"/>
        <v>vis</v>
      </c>
      <c r="E23" s="53" t="e">
        <f>VLOOKUP(C23,Active!C$21:E$971,3,FALSE)</f>
        <v>#N/A</v>
      </c>
      <c r="F23" s="3" t="s">
        <v>64</v>
      </c>
      <c r="G23" s="12" t="str">
        <f t="shared" si="4"/>
        <v>56406.36347</v>
      </c>
      <c r="H23" s="10">
        <f t="shared" si="5"/>
        <v>7628.5</v>
      </c>
      <c r="I23" s="54" t="s">
        <v>128</v>
      </c>
      <c r="J23" s="55" t="s">
        <v>129</v>
      </c>
      <c r="K23" s="54" t="s">
        <v>130</v>
      </c>
      <c r="L23" s="54" t="s">
        <v>131</v>
      </c>
      <c r="M23" s="55" t="s">
        <v>69</v>
      </c>
      <c r="N23" s="55" t="s">
        <v>85</v>
      </c>
      <c r="O23" s="56" t="s">
        <v>107</v>
      </c>
      <c r="P23" s="57" t="s">
        <v>108</v>
      </c>
    </row>
    <row r="24" spans="1:16" ht="12.75" customHeight="1" thickBot="1">
      <c r="A24" s="10" t="str">
        <f t="shared" si="0"/>
        <v>BAVM 234 </v>
      </c>
      <c r="B24" s="3" t="str">
        <f t="shared" si="1"/>
        <v>I</v>
      </c>
      <c r="C24" s="10">
        <f t="shared" si="2"/>
        <v>56642.686399999999</v>
      </c>
      <c r="D24" s="12" t="str">
        <f t="shared" si="3"/>
        <v>vis</v>
      </c>
      <c r="E24" s="53">
        <f>VLOOKUP(C24,Active!C$21:E$971,3,FALSE)</f>
        <v>8090.0043452151276</v>
      </c>
      <c r="F24" s="3" t="s">
        <v>64</v>
      </c>
      <c r="G24" s="12" t="str">
        <f t="shared" si="4"/>
        <v>56642.6864</v>
      </c>
      <c r="H24" s="10">
        <f t="shared" si="5"/>
        <v>8090</v>
      </c>
      <c r="I24" s="54" t="s">
        <v>132</v>
      </c>
      <c r="J24" s="55" t="s">
        <v>133</v>
      </c>
      <c r="K24" s="54" t="s">
        <v>134</v>
      </c>
      <c r="L24" s="54" t="s">
        <v>135</v>
      </c>
      <c r="M24" s="55" t="s">
        <v>69</v>
      </c>
      <c r="N24" s="55" t="s">
        <v>136</v>
      </c>
      <c r="O24" s="56" t="s">
        <v>137</v>
      </c>
      <c r="P24" s="57" t="s">
        <v>138</v>
      </c>
    </row>
    <row r="25" spans="1:16" ht="12.75" customHeight="1" thickBot="1">
      <c r="A25" s="10" t="str">
        <f t="shared" si="0"/>
        <v>OEJV 0094 </v>
      </c>
      <c r="B25" s="3" t="str">
        <f t="shared" si="1"/>
        <v>II</v>
      </c>
      <c r="C25" s="10">
        <f t="shared" si="2"/>
        <v>54581.397299999997</v>
      </c>
      <c r="D25" s="12" t="str">
        <f t="shared" si="3"/>
        <v>vis</v>
      </c>
      <c r="E25" s="53" t="e">
        <f>VLOOKUP(C25,Active!C$21:E$971,3,FALSE)</f>
        <v>#N/A</v>
      </c>
      <c r="F25" s="3" t="s">
        <v>64</v>
      </c>
      <c r="G25" s="12" t="str">
        <f t="shared" si="4"/>
        <v>54581.3973</v>
      </c>
      <c r="H25" s="10">
        <f t="shared" si="5"/>
        <v>4064.5</v>
      </c>
      <c r="I25" s="54" t="s">
        <v>81</v>
      </c>
      <c r="J25" s="55" t="s">
        <v>82</v>
      </c>
      <c r="K25" s="54" t="s">
        <v>83</v>
      </c>
      <c r="L25" s="54" t="s">
        <v>84</v>
      </c>
      <c r="M25" s="55" t="s">
        <v>69</v>
      </c>
      <c r="N25" s="55" t="s">
        <v>85</v>
      </c>
      <c r="O25" s="56" t="s">
        <v>86</v>
      </c>
      <c r="P25" s="57" t="s">
        <v>87</v>
      </c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</sheetData>
  <phoneticPr fontId="7" type="noConversion"/>
  <hyperlinks>
    <hyperlink ref="P11" r:id="rId1" display="http://www.konkoly.hu/cgi-bin/IBVS?5784"/>
    <hyperlink ref="P12" r:id="rId2" display="http://www.konkoly.hu/cgi-bin/IBVS?5784"/>
    <hyperlink ref="P13" r:id="rId3" display="http://www.bav-astro.de/sfs/BAVM_link.php?BAVMnr=186"/>
    <hyperlink ref="P25" r:id="rId4" display="http://var.astro.cz/oejv/issues/oejv0094.pdf"/>
    <hyperlink ref="P14" r:id="rId5" display="http://www.bav-astro.de/sfs/BAVM_link.php?BAVMnr=209"/>
    <hyperlink ref="P15" r:id="rId6" display="http://www.bav-astro.de/sfs/BAVM_link.php?BAVMnr=209"/>
    <hyperlink ref="P16" r:id="rId7" display="http://www.bav-astro.de/sfs/BAVM_link.php?BAVMnr=220"/>
    <hyperlink ref="P17" r:id="rId8" display="http://www.bav-astro.de/sfs/BAVM_link.php?BAVMnr=220"/>
    <hyperlink ref="P18" r:id="rId9" display="http://var.astro.cz/oejv/issues/oejv0160.pdf"/>
    <hyperlink ref="P19" r:id="rId10" display="http://www.bav-astro.de/sfs/BAVM_link.php?BAVMnr=220"/>
    <hyperlink ref="P20" r:id="rId11" display="http://www.konkoly.hu/cgi-bin/IBVS?6050"/>
    <hyperlink ref="P21" r:id="rId12" display="http://var.astro.cz/oejv/issues/oejv0160.pdf"/>
    <hyperlink ref="P22" r:id="rId13" display="http://www.bav-astro.de/sfs/BAVM_link.php?BAVMnr=228"/>
    <hyperlink ref="P23" r:id="rId14" display="http://var.astro.cz/oejv/issues/oejv0160.pdf"/>
    <hyperlink ref="P24" r:id="rId15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2023-01-11T06:43:54Z</dcterms:modified>
</cp:coreProperties>
</file>