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42A9DE8-F69F-4698-9AE0-9BA6D6741A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" sheetId="1" r:id="rId2"/>
    <sheet name="Sheet1" sheetId="3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31" i="2" l="1"/>
  <c r="F31" i="2" s="1"/>
  <c r="Q31" i="2"/>
  <c r="E32" i="2"/>
  <c r="F32" i="2" s="1"/>
  <c r="Q32" i="2"/>
  <c r="E33" i="2"/>
  <c r="F33" i="2" s="1"/>
  <c r="Q33" i="2"/>
  <c r="E34" i="2"/>
  <c r="F34" i="2" s="1"/>
  <c r="Q34" i="2"/>
  <c r="E35" i="2"/>
  <c r="F35" i="2" s="1"/>
  <c r="Q35" i="2"/>
  <c r="E36" i="2"/>
  <c r="F36" i="2" s="1"/>
  <c r="G36" i="2" s="1"/>
  <c r="L36" i="2" s="1"/>
  <c r="Q36" i="2"/>
  <c r="E39" i="2"/>
  <c r="F39" i="2" s="1"/>
  <c r="Q39" i="2"/>
  <c r="E37" i="2"/>
  <c r="F37" i="2" s="1"/>
  <c r="Q37" i="2"/>
  <c r="E38" i="2"/>
  <c r="F38" i="2"/>
  <c r="G38" i="2" s="1"/>
  <c r="K38" i="2" s="1"/>
  <c r="Q38" i="2"/>
  <c r="Q30" i="2"/>
  <c r="E30" i="2"/>
  <c r="F30" i="2" s="1"/>
  <c r="G30" i="2" s="1"/>
  <c r="K30" i="2" s="1"/>
  <c r="Q29" i="2"/>
  <c r="E29" i="2"/>
  <c r="F29" i="2" s="1"/>
  <c r="Q28" i="2"/>
  <c r="E28" i="2"/>
  <c r="F28" i="2" s="1"/>
  <c r="Q27" i="2"/>
  <c r="E27" i="2"/>
  <c r="F27" i="2" s="1"/>
  <c r="Q26" i="2"/>
  <c r="E26" i="2"/>
  <c r="F26" i="2" s="1"/>
  <c r="G26" i="2" s="1"/>
  <c r="K26" i="2" s="1"/>
  <c r="E25" i="2"/>
  <c r="F25" i="2" s="1"/>
  <c r="G25" i="2" s="1"/>
  <c r="K25" i="2" s="1"/>
  <c r="Q25" i="2"/>
  <c r="D11" i="2"/>
  <c r="Z11" i="2" s="1"/>
  <c r="D12" i="2"/>
  <c r="D13" i="2"/>
  <c r="D14" i="2"/>
  <c r="Q21" i="2"/>
  <c r="F16" i="2"/>
  <c r="F17" i="2" s="1"/>
  <c r="E22" i="2"/>
  <c r="F22" i="2" s="1"/>
  <c r="E21" i="2"/>
  <c r="F21" i="2"/>
  <c r="G21" i="2" s="1"/>
  <c r="H21" i="2" s="1"/>
  <c r="E23" i="1"/>
  <c r="F23" i="1" s="1"/>
  <c r="G23" i="1" s="1"/>
  <c r="J23" i="1" s="1"/>
  <c r="E21" i="1"/>
  <c r="F21" i="1" s="1"/>
  <c r="G21" i="1" s="1"/>
  <c r="H21" i="1" s="1"/>
  <c r="E22" i="1"/>
  <c r="F22" i="1" s="1"/>
  <c r="G22" i="1" s="1"/>
  <c r="H22" i="1" s="1"/>
  <c r="E24" i="1"/>
  <c r="F24" i="1" s="1"/>
  <c r="G24" i="1" s="1"/>
  <c r="K24" i="1" s="1"/>
  <c r="G11" i="1"/>
  <c r="F11" i="1"/>
  <c r="Q23" i="1"/>
  <c r="Q21" i="1"/>
  <c r="Q22" i="1"/>
  <c r="E24" i="2"/>
  <c r="F24" i="2"/>
  <c r="G24" i="2" s="1"/>
  <c r="K24" i="2" s="1"/>
  <c r="E23" i="2"/>
  <c r="F23" i="2" s="1"/>
  <c r="E9" i="2"/>
  <c r="D9" i="2"/>
  <c r="Q22" i="2"/>
  <c r="Q23" i="2"/>
  <c r="C17" i="2"/>
  <c r="Q24" i="2"/>
  <c r="Q24" i="1"/>
  <c r="E15" i="1"/>
  <c r="C17" i="1"/>
  <c r="C11" i="1"/>
  <c r="Z7" i="2" l="1"/>
  <c r="Z2" i="2"/>
  <c r="Z8" i="2"/>
  <c r="Z17" i="2"/>
  <c r="Z10" i="2"/>
  <c r="Z20" i="2"/>
  <c r="Z12" i="2"/>
  <c r="G22" i="2"/>
  <c r="H22" i="2" s="1"/>
  <c r="P22" i="2"/>
  <c r="R22" i="2" s="1"/>
  <c r="T22" i="2" s="1"/>
  <c r="G37" i="2"/>
  <c r="K37" i="2" s="1"/>
  <c r="P37" i="2"/>
  <c r="R37" i="2" s="1"/>
  <c r="T37" i="2" s="1"/>
  <c r="Z21" i="2"/>
  <c r="P34" i="2"/>
  <c r="P21" i="2"/>
  <c r="R21" i="2" s="1"/>
  <c r="T21" i="2" s="1"/>
  <c r="P36" i="2"/>
  <c r="Z13" i="2"/>
  <c r="Z19" i="2"/>
  <c r="Z16" i="2"/>
  <c r="P25" i="2"/>
  <c r="R25" i="2" s="1"/>
  <c r="T25" i="2" s="1"/>
  <c r="G27" i="2"/>
  <c r="K27" i="2" s="1"/>
  <c r="P27" i="2"/>
  <c r="G28" i="2"/>
  <c r="K28" i="2" s="1"/>
  <c r="P28" i="2"/>
  <c r="G32" i="2"/>
  <c r="L32" i="2" s="1"/>
  <c r="P32" i="2"/>
  <c r="G29" i="2"/>
  <c r="K29" i="2" s="1"/>
  <c r="P29" i="2"/>
  <c r="R29" i="2" s="1"/>
  <c r="T29" i="2" s="1"/>
  <c r="P23" i="2"/>
  <c r="G23" i="2"/>
  <c r="J23" i="2" s="1"/>
  <c r="R36" i="2"/>
  <c r="T36" i="2" s="1"/>
  <c r="P26" i="2"/>
  <c r="R26" i="2" s="1"/>
  <c r="T26" i="2" s="1"/>
  <c r="P24" i="2"/>
  <c r="R24" i="2" s="1"/>
  <c r="T24" i="2" s="1"/>
  <c r="G35" i="2"/>
  <c r="L35" i="2" s="1"/>
  <c r="P35" i="2"/>
  <c r="R35" i="2" s="1"/>
  <c r="T35" i="2" s="1"/>
  <c r="G33" i="2"/>
  <c r="L33" i="2" s="1"/>
  <c r="P33" i="2"/>
  <c r="G31" i="2"/>
  <c r="L31" i="2" s="1"/>
  <c r="P31" i="2"/>
  <c r="G34" i="2"/>
  <c r="L34" i="2" s="1"/>
  <c r="Z6" i="2"/>
  <c r="P30" i="2"/>
  <c r="R30" i="2" s="1"/>
  <c r="T30" i="2" s="1"/>
  <c r="Z9" i="2"/>
  <c r="Z14" i="2"/>
  <c r="Z3" i="2"/>
  <c r="Z4" i="2"/>
  <c r="Z18" i="2"/>
  <c r="Z5" i="2"/>
  <c r="Z15" i="2"/>
  <c r="Z22" i="2"/>
  <c r="P38" i="2"/>
  <c r="R38" i="2" s="1"/>
  <c r="T38" i="2" s="1"/>
  <c r="P39" i="2"/>
  <c r="G39" i="2"/>
  <c r="C12" i="1"/>
  <c r="C12" i="2"/>
  <c r="C11" i="2"/>
  <c r="R31" i="2" l="1"/>
  <c r="T31" i="2" s="1"/>
  <c r="R28" i="2"/>
  <c r="T28" i="2" s="1"/>
  <c r="R23" i="2"/>
  <c r="T23" i="2" s="1"/>
  <c r="R32" i="2"/>
  <c r="T32" i="2" s="1"/>
  <c r="O22" i="1"/>
  <c r="C16" i="1"/>
  <c r="D18" i="1" s="1"/>
  <c r="O21" i="1"/>
  <c r="C15" i="1"/>
  <c r="E16" i="1" s="1"/>
  <c r="O24" i="1"/>
  <c r="O23" i="1"/>
  <c r="R33" i="2"/>
  <c r="T33" i="2" s="1"/>
  <c r="R27" i="2"/>
  <c r="T27" i="2" s="1"/>
  <c r="O35" i="2"/>
  <c r="O33" i="2"/>
  <c r="O36" i="2"/>
  <c r="O31" i="2"/>
  <c r="O32" i="2"/>
  <c r="O34" i="2"/>
  <c r="R34" i="2"/>
  <c r="T34" i="2" s="1"/>
  <c r="O39" i="2"/>
  <c r="O23" i="2"/>
  <c r="O37" i="2"/>
  <c r="O28" i="2"/>
  <c r="O25" i="2"/>
  <c r="O30" i="2"/>
  <c r="O22" i="2"/>
  <c r="C15" i="2"/>
  <c r="C18" i="2" s="1"/>
  <c r="O26" i="2"/>
  <c r="O29" i="2"/>
  <c r="O38" i="2"/>
  <c r="O24" i="2"/>
  <c r="O21" i="2"/>
  <c r="O27" i="2"/>
  <c r="C16" i="2"/>
  <c r="D18" i="2" s="1"/>
  <c r="K39" i="2"/>
  <c r="R39" i="2"/>
  <c r="T39" i="2" s="1"/>
  <c r="E17" i="1" l="1"/>
  <c r="C18" i="1"/>
  <c r="E14" i="2"/>
  <c r="F18" i="2"/>
  <c r="F19" i="2" s="1"/>
</calcChain>
</file>

<file path=xl/sharedStrings.xml><?xml version="1.0" encoding="utf-8"?>
<sst xmlns="http://schemas.openxmlformats.org/spreadsheetml/2006/main" count="156" uniqueCount="77">
  <si>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</si>
  <si>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</si>
  <si>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</si>
  <si>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</si>
  <si>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</si>
  <si>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</si>
  <si>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</si>
  <si>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</si>
  <si>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</si>
  <si>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</si>
  <si>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</si>
  <si>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</si>
  <si>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</si>
  <si>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</si>
  <si>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</si>
  <si>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</si>
  <si>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</si>
  <si>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</si>
  <si>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</si>
  <si>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</si>
  <si>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</si>
  <si>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</si>
  <si>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</si>
  <si>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</si>
  <si>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</si>
  <si>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</si>
  <si>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</si>
  <si>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</si>
  <si>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</si>
  <si>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</si>
  <si>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</si>
  <si>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</si>
  <si>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</si>
  <si>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</si>
  <si>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</si>
  <si>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</si>
  <si>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eps CrA / G9312-1027</t>
  </si>
  <si>
    <t>EA</t>
  </si>
  <si>
    <t>CrA_eps.xls</t>
  </si>
  <si>
    <t>IBVS 5843</t>
  </si>
  <si>
    <t>I</t>
  </si>
  <si>
    <t>GCVS</t>
  </si>
  <si>
    <t>Tapia</t>
  </si>
  <si>
    <t>Found 2012-06-19 from Tapia's data</t>
  </si>
  <si>
    <t>Tapia 1969AJ.....74..533</t>
  </si>
  <si>
    <t>Cousins&amp;Cox 1950</t>
  </si>
  <si>
    <t>Cousins</t>
  </si>
  <si>
    <t>pg</t>
  </si>
  <si>
    <t>vis</t>
  </si>
  <si>
    <t>PE</t>
  </si>
  <si>
    <t>CCD</t>
  </si>
  <si>
    <t>Tapia 1969</t>
  </si>
  <si>
    <t>Qian 2001MNRAS.328…91</t>
  </si>
  <si>
    <t>Add cycle</t>
  </si>
  <si>
    <t>Old Cycle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</si>
  <si>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</si>
  <si>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</si>
  <si>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</si>
  <si>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</si>
  <si>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dP/dt =</t>
  </si>
  <si>
    <t>He had 6 points, two of which I cannot find.</t>
  </si>
  <si>
    <t>OEJV 0177</t>
  </si>
  <si>
    <t>OEJV 0182</t>
  </si>
  <si>
    <t>II</t>
  </si>
  <si>
    <t>JAVSO 49, 251</t>
  </si>
  <si>
    <t>Compatibility Report for CrA_eps.xls</t>
  </si>
  <si>
    <t>Run on 13/11/2022 13:52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</si>
  <si>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</si>
  <si>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</si>
  <si>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</si>
  <si>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</si>
  <si>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</si>
  <si>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</si>
  <si>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ARX</t>
  </si>
  <si>
    <t>TESS/RAA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</si>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</sst>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_);\(&quot;$&quot;#,##0\)"/>
    <numFmt numFmtId="165" formatCode="0.0000"/>
    <numFmt numFmtId="166" formatCode="0.00000"/>
    <numFmt numFmtId="167" formatCode="0.0000000"/>
    <numFmt numFmtId="168" formatCode="0.00000000000"/>
    <numFmt numFmtId="169" formatCode="0.00000000"/>
  </numFmts>
  <fonts count="2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1" applyNumberFormat="0" applyFont="0" applyFill="0" applyAlignment="0" applyProtection="0"/>
  </cellStyleXfs>
  <cellXfs count="7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0" xfId="0" applyFont="1">
      <alignment vertical="top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5" fontId="0" fillId="0" borderId="0" xfId="0" applyNumberFormat="1">
      <alignment vertical="top"/>
    </xf>
    <xf numFmtId="0" fontId="0" fillId="0" borderId="5" xfId="0" applyBorder="1" applyAlignment="1"/>
    <xf numFmtId="0" fontId="0" fillId="0" borderId="6" xfId="0" applyBorder="1" applyAlignment="1"/>
    <xf numFmtId="11" fontId="0" fillId="0" borderId="0" xfId="0" applyNumberFormat="1" applyAlignment="1"/>
    <xf numFmtId="0" fontId="0" fillId="0" borderId="7" xfId="0" applyBorder="1" applyAlignment="1"/>
    <xf numFmtId="0" fontId="10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2" fillId="0" borderId="0" xfId="0" applyFont="1" applyAlignment="1"/>
    <xf numFmtId="14" fontId="17" fillId="0" borderId="0" xfId="0" applyNumberFormat="1" applyFont="1" applyAlignment="1"/>
    <xf numFmtId="0" fontId="17" fillId="0" borderId="0" xfId="0" applyFont="1" applyAlignment="1"/>
    <xf numFmtId="0" fontId="18" fillId="0" borderId="0" xfId="0" applyFont="1" applyAlignment="1"/>
    <xf numFmtId="0" fontId="17" fillId="0" borderId="0" xfId="0" applyFont="1" applyAlignment="1">
      <alignment horizontal="center"/>
    </xf>
    <xf numFmtId="0" fontId="19" fillId="0" borderId="0" xfId="0" applyFont="1" applyAlignment="1"/>
    <xf numFmtId="0" fontId="22" fillId="0" borderId="0" xfId="0" applyFont="1">
      <alignment vertical="top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2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2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26" fillId="0" borderId="0" xfId="0" applyFont="1" applyAlignment="1"/>
    <xf numFmtId="0" fontId="2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0" fillId="0" borderId="0" xfId="0" applyBorder="1" applyAlignment="1"/>
    <xf numFmtId="0" fontId="17" fillId="0" borderId="0" xfId="0" applyFont="1" applyBorder="1" applyAlignment="1"/>
    <xf numFmtId="0" fontId="26" fillId="0" borderId="0" xfId="0" applyFont="1" applyBorder="1" applyAlignment="1"/>
    <xf numFmtId="168" fontId="26" fillId="0" borderId="0" xfId="0" applyNumberFormat="1" applyFont="1" applyAlignment="1" applyProtection="1">
      <alignment horizontal="left" vertical="center" wrapText="1"/>
      <protection locked="0"/>
    </xf>
    <xf numFmtId="169" fontId="26" fillId="0" borderId="0" xfId="0" applyNumberFormat="1" applyFont="1" applyAlignment="1">
      <alignment horizontal="left"/>
    </xf>
    <xf numFmtId="167" fontId="25" fillId="0" borderId="0" xfId="0" applyNumberFormat="1" applyFont="1" applyAlignment="1">
      <alignment horizontal="left"/>
    </xf>
    <xf numFmtId="166" fontId="25" fillId="0" borderId="0" xfId="0" applyNumberFormat="1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Epsilon CrA - O-C Diagr.</a:t>
            </a:r>
          </a:p>
        </c:rich>
      </c:tx>
      <c:layout>
        <c:manualLayout>
          <c:xMode val="edge"/>
          <c:yMode val="edge"/>
          <c:x val="0.36229780555781044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71142916932441"/>
          <c:y val="0.13953488372093023"/>
          <c:w val="0.82768837134714668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Active!$I$20:$I$20</c:f>
              <c:strCache>
                <c:ptCount val="1"/>
                <c:pt idx="0">
                  <c:v>GCVS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0.28819560000556521</c:v>
                </c:pt>
                <c:pt idx="1">
                  <c:v>0.29417000000103144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EB-4AF2-B54C-20A27E337123}"/>
            </c:ext>
          </c:extLst>
        </c:ser>
        <c:ser>
          <c:idx val="1"/>
          <c:order val="1"/>
          <c:tx>
            <c:strRef>
              <c:f>Active!$J$20:$J$20</c:f>
              <c:strCache>
                <c:ptCount val="1"/>
                <c:pt idx="0">
                  <c:v>Tapia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EB-4AF2-B54C-20A27E337123}"/>
            </c:ext>
          </c:extLst>
        </c:ser>
        <c:ser>
          <c:idx val="3"/>
          <c:order val="2"/>
          <c:tx>
            <c:strRef>
              <c:f>Active!#REF!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2">
                  <c:v>9.4874087240896188E-2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EB-4AF2-B54C-20A27E3371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3">
                  <c:v>3.220040000451263E-2</c:v>
                </c:pt>
                <c:pt idx="4">
                  <c:v>-0.12322120023600291</c:v>
                </c:pt>
                <c:pt idx="5">
                  <c:v>-0.12333200000284705</c:v>
                </c:pt>
                <c:pt idx="6">
                  <c:v>-0.12949720000324305</c:v>
                </c:pt>
                <c:pt idx="7">
                  <c:v>-0.1247536000009859</c:v>
                </c:pt>
                <c:pt idx="8">
                  <c:v>-0.11876399999891873</c:v>
                </c:pt>
                <c:pt idx="9">
                  <c:v>-0.12067279999610037</c:v>
                </c:pt>
                <c:pt idx="16">
                  <c:v>-5.6345199998759199E-2</c:v>
                </c:pt>
                <c:pt idx="17">
                  <c:v>-5.739480000192998E-2</c:v>
                </c:pt>
                <c:pt idx="18">
                  <c:v>-3.0143999771098606E-2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EB-4AF2-B54C-20A27E3371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  <c:pt idx="10">
                  <c:v>-7.6827924072858877E-2</c:v>
                </c:pt>
                <c:pt idx="11">
                  <c:v>-7.6851299105328508E-2</c:v>
                </c:pt>
                <c:pt idx="12">
                  <c:v>-7.6191614643903449E-2</c:v>
                </c:pt>
                <c:pt idx="13">
                  <c:v>-7.6055114186601713E-2</c:v>
                </c:pt>
                <c:pt idx="14">
                  <c:v>-7.6088587979029398E-2</c:v>
                </c:pt>
                <c:pt idx="15">
                  <c:v>-7.5233116265735589E-2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EB-4AF2-B54C-20A27E3371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EB-4AF2-B54C-20A27E3371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1.6260000000000001E-3</c:v>
                  </c:pt>
                  <c:pt idx="11">
                    <c:v>1.655E-3</c:v>
                  </c:pt>
                  <c:pt idx="12">
                    <c:v>1.0399999999999999E-3</c:v>
                  </c:pt>
                  <c:pt idx="13">
                    <c:v>1.529E-3</c:v>
                  </c:pt>
                  <c:pt idx="14">
                    <c:v>9.1600000000000004E-4</c:v>
                  </c:pt>
                  <c:pt idx="15">
                    <c:v>1.3129999999999999E-3</c:v>
                  </c:pt>
                  <c:pt idx="16">
                    <c:v>2.9399999999999999E-3</c:v>
                  </c:pt>
                  <c:pt idx="17">
                    <c:v>4.6899999999999997E-3</c:v>
                  </c:pt>
                  <c:pt idx="18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EB-4AF2-B54C-20A27E3371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-10416.5</c:v>
                </c:pt>
                <c:pt idx="1">
                  <c:v>-10362.5</c:v>
                </c:pt>
                <c:pt idx="2">
                  <c:v>0</c:v>
                </c:pt>
                <c:pt idx="3">
                  <c:v>24151.5</c:v>
                </c:pt>
                <c:pt idx="4">
                  <c:v>29720.5</c:v>
                </c:pt>
                <c:pt idx="5">
                  <c:v>30130</c:v>
                </c:pt>
                <c:pt idx="6">
                  <c:v>30185.5</c:v>
                </c:pt>
                <c:pt idx="7">
                  <c:v>30199</c:v>
                </c:pt>
                <c:pt idx="8">
                  <c:v>30260</c:v>
                </c:pt>
                <c:pt idx="9">
                  <c:v>30302</c:v>
                </c:pt>
                <c:pt idx="10">
                  <c:v>32040</c:v>
                </c:pt>
                <c:pt idx="11">
                  <c:v>32040.5</c:v>
                </c:pt>
                <c:pt idx="12">
                  <c:v>32062</c:v>
                </c:pt>
                <c:pt idx="13">
                  <c:v>32062.5</c:v>
                </c:pt>
                <c:pt idx="14">
                  <c:v>32080</c:v>
                </c:pt>
                <c:pt idx="15">
                  <c:v>32080.5</c:v>
                </c:pt>
                <c:pt idx="16">
                  <c:v>32818</c:v>
                </c:pt>
                <c:pt idx="17">
                  <c:v>32819.5</c:v>
                </c:pt>
                <c:pt idx="18">
                  <c:v>33947.5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0.25836778137339411</c:v>
                </c:pt>
                <c:pt idx="1">
                  <c:v>0.25792387214393336</c:v>
                </c:pt>
                <c:pt idx="2">
                  <c:v>0.17273851306454915</c:v>
                </c:pt>
                <c:pt idx="3">
                  <c:v>-2.5799889811759458E-2</c:v>
                </c:pt>
                <c:pt idx="4">
                  <c:v>-7.1580084235218139E-2</c:v>
                </c:pt>
                <c:pt idx="5">
                  <c:v>-7.4946395891961948E-2</c:v>
                </c:pt>
                <c:pt idx="6">
                  <c:v>-7.5402635933352141E-2</c:v>
                </c:pt>
                <c:pt idx="7">
                  <c:v>-7.5513613240717342E-2</c:v>
                </c:pt>
                <c:pt idx="8">
                  <c:v>-7.6015066259182223E-2</c:v>
                </c:pt>
                <c:pt idx="9">
                  <c:v>-7.6360328993207216E-2</c:v>
                </c:pt>
                <c:pt idx="10">
                  <c:v>-9.0647629748813491E-2</c:v>
                </c:pt>
                <c:pt idx="11">
                  <c:v>-9.0651740019456611E-2</c:v>
                </c:pt>
                <c:pt idx="12">
                  <c:v>-9.0828481657112298E-2</c:v>
                </c:pt>
                <c:pt idx="13">
                  <c:v>-9.0832591927755418E-2</c:v>
                </c:pt>
                <c:pt idx="14">
                  <c:v>-9.0976451400265862E-2</c:v>
                </c:pt>
                <c:pt idx="15">
                  <c:v>-9.0980561670909038E-2</c:v>
                </c:pt>
                <c:pt idx="16">
                  <c:v>-9.7043210869562441E-2</c:v>
                </c:pt>
                <c:pt idx="17">
                  <c:v>-9.7055541681491858E-2</c:v>
                </c:pt>
                <c:pt idx="18">
                  <c:v>-0.10632831225244924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EB-4AF2-B54C-20A27E337123}"/>
            </c:ext>
          </c:extLst>
        </c:ser>
        <c:ser>
          <c:idx val="8"/>
          <c:order val="8"/>
          <c:tx>
            <c:strRef>
              <c:f>Active!$Z$1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Active!$Y$2:$Y$22</c:f>
              <c:numCache>
                <c:formatCode>General</c:formatCode>
                <c:ptCount val="21"/>
                <c:pt idx="0">
                  <c:v>-14000</c:v>
                </c:pt>
                <c:pt idx="1">
                  <c:v>-12000</c:v>
                </c:pt>
                <c:pt idx="2">
                  <c:v>-10000</c:v>
                </c:pt>
                <c:pt idx="3">
                  <c:v>-8000</c:v>
                </c:pt>
                <c:pt idx="4">
                  <c:v>-6000</c:v>
                </c:pt>
                <c:pt idx="5">
                  <c:v>-4000</c:v>
                </c:pt>
                <c:pt idx="6">
                  <c:v>-2000</c:v>
                </c:pt>
                <c:pt idx="7">
                  <c:v>0</c:v>
                </c:pt>
                <c:pt idx="8">
                  <c:v>2000</c:v>
                </c:pt>
                <c:pt idx="9">
                  <c:v>4000</c:v>
                </c:pt>
                <c:pt idx="10">
                  <c:v>6000</c:v>
                </c:pt>
                <c:pt idx="11">
                  <c:v>8000</c:v>
                </c:pt>
                <c:pt idx="12">
                  <c:v>10000</c:v>
                </c:pt>
                <c:pt idx="13">
                  <c:v>12000</c:v>
                </c:pt>
                <c:pt idx="14">
                  <c:v>14000</c:v>
                </c:pt>
                <c:pt idx="15">
                  <c:v>16000</c:v>
                </c:pt>
                <c:pt idx="16">
                  <c:v>18000</c:v>
                </c:pt>
                <c:pt idx="17">
                  <c:v>20000</c:v>
                </c:pt>
                <c:pt idx="18">
                  <c:v>22000</c:v>
                </c:pt>
                <c:pt idx="19">
                  <c:v>24000</c:v>
                </c:pt>
                <c:pt idx="20">
                  <c:v>26000</c:v>
                </c:pt>
              </c:numCache>
            </c:numRef>
          </c:xVal>
          <c:yVal>
            <c:numRef>
              <c:f>Active!$Z$2:$Z$22</c:f>
              <c:numCache>
                <c:formatCode>General</c:formatCode>
                <c:ptCount val="21"/>
                <c:pt idx="0">
                  <c:v>0.38322234856427351</c:v>
                </c:pt>
                <c:pt idx="1">
                  <c:v>0.33071145915117234</c:v>
                </c:pt>
                <c:pt idx="2">
                  <c:v>0.28197460802052443</c:v>
                </c:pt>
                <c:pt idx="3">
                  <c:v>0.23701179517232973</c:v>
                </c:pt>
                <c:pt idx="4">
                  <c:v>0.19582302060658818</c:v>
                </c:pt>
                <c:pt idx="5">
                  <c:v>0.15840828432329979</c:v>
                </c:pt>
                <c:pt idx="6">
                  <c:v>0.12476758632246455</c:v>
                </c:pt>
                <c:pt idx="7">
                  <c:v>9.4900926604082503E-2</c:v>
                </c:pt>
                <c:pt idx="8">
                  <c:v>6.880830516815363E-2</c:v>
                </c:pt>
                <c:pt idx="9">
                  <c:v>4.648972201467793E-2</c:v>
                </c:pt>
                <c:pt idx="10">
                  <c:v>2.7945177143655409E-2</c:v>
                </c:pt>
                <c:pt idx="11">
                  <c:v>1.3174670555086053E-2</c:v>
                </c:pt>
                <c:pt idx="12">
                  <c:v>2.1782022489698835E-3</c:v>
                </c:pt>
                <c:pt idx="13">
                  <c:v>-5.0442277746931274E-3</c:v>
                </c:pt>
                <c:pt idx="14">
                  <c:v>-8.4926195159029522E-3</c:v>
                </c:pt>
                <c:pt idx="15">
                  <c:v>-8.1669729746596254E-3</c:v>
                </c:pt>
                <c:pt idx="16">
                  <c:v>-4.0672881509630776E-3</c:v>
                </c:pt>
                <c:pt idx="17">
                  <c:v>3.8064349551865939E-3</c:v>
                </c:pt>
                <c:pt idx="18">
                  <c:v>1.5454196343789472E-2</c:v>
                </c:pt>
                <c:pt idx="19">
                  <c:v>3.0875996014845475E-2</c:v>
                </c:pt>
                <c:pt idx="20">
                  <c:v>5.0071833968354684E-2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3EB-4AF2-B54C-20A27E337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652048"/>
        <c:axId val="1"/>
      </c:scatterChart>
      <c:valAx>
        <c:axId val="532652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8248891568967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73637702503684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652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31237847846337"/>
          <c:y val="0.92441860465116277"/>
          <c:w val="0.77466924881812449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Epsilon CrA - O-C Diagr.</a:t>
            </a:r>
          </a:p>
        </c:rich>
      </c:tx>
      <c:layout>
        <c:manualLayout>
          <c:xMode val="edge"/>
          <c:yMode val="edge"/>
          <c:x val="0.3593984962406014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A!$D$21:$D$238</c:f>
                <c:numCache>
                  <c:formatCode>General</c:formatCode>
                  <c:ptCount val="21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A!$D$21:$D$238</c:f>
                <c:numCache>
                  <c:formatCode>General</c:formatCode>
                  <c:ptCount val="21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A!$H$21:$H$998</c:f>
              <c:numCache>
                <c:formatCode>General</c:formatCode>
                <c:ptCount val="978"/>
                <c:pt idx="0">
                  <c:v>-7.5175999954808503E-3</c:v>
                </c:pt>
                <c:pt idx="1">
                  <c:v>-1.5431999927386642E-3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A6-4D03-8529-48A494DD224F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A6-4D03-8529-48A494DD224F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A!$J$21:$J$998</c:f>
              <c:numCache>
                <c:formatCode>General</c:formatCode>
                <c:ptCount val="978"/>
                <c:pt idx="2">
                  <c:v>9.4874087240896188E-2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A6-4D03-8529-48A494DD224F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A!$K$21:$K$998</c:f>
              <c:numCache>
                <c:formatCode>General</c:formatCode>
                <c:ptCount val="978"/>
                <c:pt idx="3">
                  <c:v>3.220040000451263E-2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A6-4D03-8529-48A494DD224F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A6-4D03-8529-48A494DD224F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A6-4D03-8529-48A494DD224F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plus>
            <c:minus>
              <c:numRef>
                <c:f>A!$D$21:$D$998</c:f>
                <c:numCache>
                  <c:formatCode>General</c:formatCode>
                  <c:ptCount val="978"/>
                  <c:pt idx="2">
                    <c:v>2.9999999999999997E-4</c:v>
                  </c:pt>
                  <c:pt idx="3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A6-4D03-8529-48A494DD224F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A!$F$21:$F$998</c:f>
              <c:numCache>
                <c:formatCode>General</c:formatCode>
                <c:ptCount val="978"/>
                <c:pt idx="0">
                  <c:v>-10416</c:v>
                </c:pt>
                <c:pt idx="1">
                  <c:v>-10362</c:v>
                </c:pt>
                <c:pt idx="2">
                  <c:v>0</c:v>
                </c:pt>
                <c:pt idx="3">
                  <c:v>24151.5</c:v>
                </c:pt>
              </c:numCache>
            </c:numRef>
          </c:xVal>
          <c:yVal>
            <c:numRef>
              <c:f>A!$O$21:$O$998</c:f>
              <c:numCache>
                <c:formatCode>General</c:formatCode>
                <c:ptCount val="978"/>
                <c:pt idx="0">
                  <c:v>1.8581437560295653E-2</c:v>
                </c:pt>
                <c:pt idx="1">
                  <c:v>1.8633819433154147E-2</c:v>
                </c:pt>
                <c:pt idx="2">
                  <c:v>2.8685318813889339E-2</c:v>
                </c:pt>
                <c:pt idx="3">
                  <c:v>5.2113111449850161E-2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A6-4D03-8529-48A494DD2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652704"/>
        <c:axId val="1"/>
      </c:scatterChart>
      <c:valAx>
        <c:axId val="532652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652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62406015037594"/>
          <c:y val="0.92375366568914952"/>
          <c:w val="0.6285714285714285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50182" name="Chart 1">
          <a:extLst>
            <a:ext uri="{FF2B5EF4-FFF2-40B4-BE49-F238E27FC236}">
              <a16:creationId xmlns:a16="http://schemas.microsoft.com/office/drawing/2014/main" id="{7BBA3F79-B404-A81F-8EE4-8FD48F07A7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0</xdr:rowOff>
    </xdr:from>
    <xdr:to>
      <xdr:col>16</xdr:col>
      <xdr:colOff>180975</xdr:colOff>
      <xdr:row>19</xdr:row>
      <xdr:rowOff>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CBAD8243-9A6A-9C89-EDE3-D63BDB276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939"/>
  <sheetViews>
    <sheetView tabSelected="1" workbookViewId="0">
      <pane xSplit="12" ySplit="21" topLeftCell="M29" activePane="bottomRight" state="frozen"/>
      <selection pane="topRight" activeCell="M1" sqref="M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7.85546875" customWidth="1"/>
    <col min="4" max="4" width="12.28515625" customWidth="1"/>
    <col min="5" max="5" width="13.140625" customWidth="1"/>
    <col min="6" max="6" width="15.5703125" customWidth="1"/>
    <col min="7" max="7" width="8.140625" customWidth="1"/>
    <col min="8" max="8" width="8.5703125" customWidth="1"/>
    <col min="9" max="9" width="10.5703125" customWidth="1"/>
    <col min="10" max="14" width="8.5703125" customWidth="1"/>
    <col min="15" max="15" width="8" customWidth="1"/>
    <col min="16" max="16" width="7.7109375" customWidth="1"/>
    <col min="17" max="17" width="9.85546875" customWidth="1"/>
    <col min="20" max="20" width="11.85546875" customWidth="1"/>
  </cols>
  <sheetData>
    <row r="1" spans="1:26" ht="21" thickBot="1" x14ac:dyDescent="0.35">
      <c r="A1" s="1" t="s">
        <v>36</v>
      </c>
      <c r="F1">
        <v>39707.661899999999</v>
      </c>
      <c r="G1">
        <v>0.59142640000000002</v>
      </c>
      <c r="H1" t="s">
        <v>37</v>
      </c>
      <c r="I1" t="s">
        <v>38</v>
      </c>
      <c r="S1" s="66"/>
      <c r="T1" s="67"/>
      <c r="U1" s="66"/>
      <c r="Y1" s="4" t="s">
        <v>10</v>
      </c>
      <c r="Z1" s="6" t="s">
        <v>21</v>
      </c>
    </row>
    <row r="2" spans="1:26" x14ac:dyDescent="0.2">
      <c r="A2" t="s">
        <v>23</v>
      </c>
      <c r="B2" t="s">
        <v>37</v>
      </c>
      <c r="C2" s="3"/>
      <c r="D2" s="3"/>
      <c r="E2" t="s">
        <v>38</v>
      </c>
      <c r="S2" s="66"/>
      <c r="T2" s="67"/>
      <c r="U2" s="66"/>
      <c r="Y2">
        <v>-14000</v>
      </c>
      <c r="Z2">
        <f>+D$11+D$12*Y2+D$13*Y2^2</f>
        <v>0.38322234856427351</v>
      </c>
    </row>
    <row r="3" spans="1:26" ht="13.5" thickBot="1" x14ac:dyDescent="0.25">
      <c r="A3" s="26" t="s">
        <v>52</v>
      </c>
      <c r="D3" s="44" t="s">
        <v>60</v>
      </c>
      <c r="S3" s="66"/>
      <c r="T3" s="68"/>
      <c r="U3" s="66"/>
      <c r="Y3">
        <v>-12000</v>
      </c>
      <c r="Z3">
        <f>+D$11+D$12*Y3+D$13*Y3^2</f>
        <v>0.33071145915117234</v>
      </c>
    </row>
    <row r="4" spans="1:26" ht="14.25" thickTop="1" thickBot="1" x14ac:dyDescent="0.25">
      <c r="A4" s="5" t="s">
        <v>0</v>
      </c>
      <c r="C4" s="8">
        <v>39707.661899999999</v>
      </c>
      <c r="D4" s="9">
        <v>0.59142640000000002</v>
      </c>
      <c r="S4" s="66"/>
      <c r="T4" s="66"/>
      <c r="U4" s="66"/>
      <c r="Y4">
        <v>-10000</v>
      </c>
      <c r="Z4">
        <f>+D$11+D$12*Y4+D$13*Y4^2</f>
        <v>0.28197460802052443</v>
      </c>
    </row>
    <row r="5" spans="1:26" ht="13.5" thickTop="1" x14ac:dyDescent="0.2">
      <c r="A5" s="11" t="s">
        <v>29</v>
      </c>
      <c r="B5" s="12"/>
      <c r="C5" s="13">
        <v>-9.5</v>
      </c>
      <c r="D5" s="12" t="s">
        <v>30</v>
      </c>
      <c r="S5" s="66"/>
      <c r="T5" s="66"/>
      <c r="U5" s="66"/>
      <c r="Y5">
        <v>-8000</v>
      </c>
      <c r="Z5">
        <f>+D$11+D$12*Y5+D$13*Y5^2</f>
        <v>0.23701179517232973</v>
      </c>
    </row>
    <row r="6" spans="1:26" x14ac:dyDescent="0.2">
      <c r="A6" s="5" t="s">
        <v>1</v>
      </c>
      <c r="S6" s="66"/>
      <c r="T6" s="66"/>
      <c r="U6" s="66"/>
      <c r="Y6">
        <v>-6000</v>
      </c>
      <c r="Z6">
        <f>+D$11+D$12*Y6+D$13*Y6^2</f>
        <v>0.19582302060658818</v>
      </c>
    </row>
    <row r="7" spans="1:26" x14ac:dyDescent="0.2">
      <c r="A7" t="s">
        <v>2</v>
      </c>
      <c r="C7">
        <v>39707.661899999999</v>
      </c>
      <c r="D7" s="26" t="s">
        <v>52</v>
      </c>
      <c r="Y7">
        <v>-4000</v>
      </c>
      <c r="Z7">
        <f>+D$11+D$12*Y7+D$13*Y7^2</f>
        <v>0.15840828432329979</v>
      </c>
    </row>
    <row r="8" spans="1:26" x14ac:dyDescent="0.2">
      <c r="A8" t="s">
        <v>3</v>
      </c>
      <c r="C8">
        <v>0.59142640000000002</v>
      </c>
      <c r="D8" s="26" t="s">
        <v>52</v>
      </c>
      <c r="Y8">
        <v>-2000</v>
      </c>
      <c r="Z8">
        <f>+D$11+D$12*Y8+D$13*Y8^2</f>
        <v>0.12476758632246455</v>
      </c>
    </row>
    <row r="9" spans="1:26" x14ac:dyDescent="0.2">
      <c r="A9" s="27" t="s">
        <v>35</v>
      </c>
      <c r="C9" s="28">
        <v>21</v>
      </c>
      <c r="D9" s="25" t="str">
        <f>"F"&amp;C9</f>
        <v>F21</v>
      </c>
      <c r="E9" s="26" t="str">
        <f>"G"&amp;C9</f>
        <v>G21</v>
      </c>
      <c r="Y9">
        <v>0</v>
      </c>
      <c r="Z9">
        <f>+D$11+D$12*Y9+D$13*Y9^2</f>
        <v>9.4900926604082503E-2</v>
      </c>
    </row>
    <row r="10" spans="1:26" ht="13.5" thickBot="1" x14ac:dyDescent="0.25">
      <c r="A10" s="12"/>
      <c r="B10" s="12"/>
      <c r="C10" s="4" t="s">
        <v>19</v>
      </c>
      <c r="D10" s="4" t="s">
        <v>20</v>
      </c>
      <c r="E10" s="12"/>
      <c r="Y10">
        <v>2000</v>
      </c>
      <c r="Z10">
        <f>+D$11+D$12*Y10+D$13*Y10^2</f>
        <v>6.880830516815363E-2</v>
      </c>
    </row>
    <row r="11" spans="1:26" x14ac:dyDescent="0.2">
      <c r="A11" s="12" t="s">
        <v>15</v>
      </c>
      <c r="B11" s="12"/>
      <c r="C11" s="24">
        <f ca="1">INTERCEPT(INDIRECT($E$9):G991,INDIRECT($D$9):F991)</f>
        <v>0.17273851306454915</v>
      </c>
      <c r="D11" s="3">
        <f>+E11*F11</f>
        <v>9.4900926604082503E-2</v>
      </c>
      <c r="E11" s="33">
        <v>9.4900926604082496</v>
      </c>
      <c r="F11">
        <v>0.01</v>
      </c>
      <c r="Y11">
        <v>4000</v>
      </c>
      <c r="Z11">
        <f>+D$11+D$12*Y11+D$13*Y11^2</f>
        <v>4.648972201467793E-2</v>
      </c>
    </row>
    <row r="12" spans="1:26" x14ac:dyDescent="0.2">
      <c r="A12" s="12" t="s">
        <v>16</v>
      </c>
      <c r="B12" s="12"/>
      <c r="C12" s="24">
        <f ca="1">SLOPE(INDIRECT($E$9):G991,INDIRECT($D$9):F991)</f>
        <v>-8.2205412863096951E-6</v>
      </c>
      <c r="D12" s="3">
        <f>+E12*F12</f>
        <v>-1.3989820288577729E-5</v>
      </c>
      <c r="E12" s="34">
        <v>-1.3989820288577728</v>
      </c>
      <c r="F12" s="35">
        <v>1.0000000000000001E-5</v>
      </c>
      <c r="Y12">
        <v>6000</v>
      </c>
      <c r="Z12">
        <f>+D$11+D$12*Y12+D$13*Y12^2</f>
        <v>2.7945177143655409E-2</v>
      </c>
    </row>
    <row r="13" spans="1:26" ht="13.5" thickBot="1" x14ac:dyDescent="0.25">
      <c r="A13" s="12" t="s">
        <v>18</v>
      </c>
      <c r="B13" s="12"/>
      <c r="C13" s="3" t="s">
        <v>13</v>
      </c>
      <c r="D13" s="3">
        <f>+E13*F13</f>
        <v>4.7175478530664667E-10</v>
      </c>
      <c r="E13" s="36">
        <v>4.7175478530664661</v>
      </c>
      <c r="F13" s="35">
        <v>1E-10</v>
      </c>
      <c r="Y13">
        <v>8000</v>
      </c>
      <c r="Z13">
        <f>+D$11+D$12*Y13+D$13*Y13^2</f>
        <v>1.3174670555086053E-2</v>
      </c>
    </row>
    <row r="14" spans="1:26" x14ac:dyDescent="0.2">
      <c r="A14" s="12"/>
      <c r="B14" s="12"/>
      <c r="C14" s="12" t="s">
        <v>59</v>
      </c>
      <c r="D14" s="12">
        <f>2*D13*365.24/C8</f>
        <v>5.8267171632987512E-7</v>
      </c>
      <c r="E14">
        <f>SUM(T21:T950)</f>
        <v>0.63742540070714893</v>
      </c>
      <c r="Y14">
        <v>10000</v>
      </c>
      <c r="Z14">
        <f>+D$11+D$12*Y14+D$13*Y14^2</f>
        <v>2.1782022489698835E-3</v>
      </c>
    </row>
    <row r="15" spans="1:26" x14ac:dyDescent="0.2">
      <c r="A15" s="14" t="s">
        <v>17</v>
      </c>
      <c r="B15" s="12"/>
      <c r="C15" s="15">
        <f ca="1">(C7+C11)+(C8+C12)*INT(MAX(F21:F3532))</f>
        <v>59784.707576598019</v>
      </c>
      <c r="E15" s="16" t="s">
        <v>53</v>
      </c>
      <c r="F15" s="13">
        <v>1</v>
      </c>
      <c r="Y15">
        <v>12000</v>
      </c>
      <c r="Z15">
        <f>+D$11+D$12*Y15+D$13*Y15^2</f>
        <v>-5.0442277746931274E-3</v>
      </c>
    </row>
    <row r="16" spans="1:26" x14ac:dyDescent="0.2">
      <c r="A16" s="18" t="s">
        <v>4</v>
      </c>
      <c r="B16" s="12"/>
      <c r="C16" s="19">
        <f ca="1">+C8+C12</f>
        <v>0.59141817945871367</v>
      </c>
      <c r="E16" s="16" t="s">
        <v>31</v>
      </c>
      <c r="F16" s="17">
        <f ca="1">NOW()+15018.5+$C$5/24</f>
        <v>60325.725371759254</v>
      </c>
      <c r="Y16">
        <v>14000</v>
      </c>
      <c r="Z16">
        <f>+D$11+D$12*Y16+D$13*Y16^2</f>
        <v>-8.4926195159029522E-3</v>
      </c>
    </row>
    <row r="17" spans="1:26" ht="13.5" thickBot="1" x14ac:dyDescent="0.25">
      <c r="A17" s="16" t="s">
        <v>28</v>
      </c>
      <c r="B17" s="12"/>
      <c r="C17" s="12">
        <f>COUNT(C21:C2190)</f>
        <v>19</v>
      </c>
      <c r="E17" s="16" t="s">
        <v>54</v>
      </c>
      <c r="F17" s="17">
        <f ca="1">ROUND(2*(F16-$C$7)/$C$8,0)/2+F15</f>
        <v>34862.5</v>
      </c>
      <c r="Y17">
        <v>16000</v>
      </c>
      <c r="Z17">
        <f>+D$11+D$12*Y17+D$13*Y17^2</f>
        <v>-8.1669729746596254E-3</v>
      </c>
    </row>
    <row r="18" spans="1:26" ht="14.25" thickTop="1" thickBot="1" x14ac:dyDescent="0.25">
      <c r="A18" s="18" t="s">
        <v>5</v>
      </c>
      <c r="B18" s="12"/>
      <c r="C18" s="21">
        <f ca="1">+C15</f>
        <v>59784.707576598019</v>
      </c>
      <c r="D18" s="22">
        <f ca="1">+C16</f>
        <v>0.59141817945871367</v>
      </c>
      <c r="E18" s="16" t="s">
        <v>32</v>
      </c>
      <c r="F18" s="26">
        <f ca="1">ROUND(2*(F16-$C$15)/$C$16,0)/2+F15</f>
        <v>916</v>
      </c>
      <c r="Y18">
        <v>18000</v>
      </c>
      <c r="Z18">
        <f>+D$11+D$12*Y18+D$13*Y18^2</f>
        <v>-4.0672881509630776E-3</v>
      </c>
    </row>
    <row r="19" spans="1:26" ht="13.5" thickTop="1" x14ac:dyDescent="0.2">
      <c r="E19" s="16" t="s">
        <v>33</v>
      </c>
      <c r="F19" s="20">
        <f ca="1">+$C$15+$C$16*F18-15018.5-$C$5/24</f>
        <v>45308.342462315537</v>
      </c>
      <c r="Y19">
        <v>20000</v>
      </c>
      <c r="Z19">
        <f>+D$11+D$12*Y19+D$13*Y19^2</f>
        <v>3.8064349551865939E-3</v>
      </c>
    </row>
    <row r="20" spans="1:26" ht="1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4" t="s">
        <v>46</v>
      </c>
      <c r="I20" s="7" t="s">
        <v>41</v>
      </c>
      <c r="J20" s="7" t="s">
        <v>42</v>
      </c>
      <c r="K20" s="7" t="s">
        <v>27</v>
      </c>
      <c r="L20" s="7" t="s">
        <v>75</v>
      </c>
      <c r="M20" s="7" t="s">
        <v>25</v>
      </c>
      <c r="N20" s="7" t="s">
        <v>26</v>
      </c>
      <c r="O20" s="7" t="s">
        <v>22</v>
      </c>
      <c r="P20" s="37" t="s">
        <v>21</v>
      </c>
      <c r="Q20" s="4" t="s">
        <v>14</v>
      </c>
      <c r="R20" s="7" t="s">
        <v>55</v>
      </c>
      <c r="S20" s="6" t="s">
        <v>56</v>
      </c>
      <c r="T20" s="7" t="s">
        <v>57</v>
      </c>
      <c r="U20" s="38" t="s">
        <v>58</v>
      </c>
      <c r="Y20">
        <v>22000</v>
      </c>
      <c r="Z20">
        <f>+D$11+D$12*Y20+D$13*Y20^2</f>
        <v>1.5454196343789472E-2</v>
      </c>
    </row>
    <row r="21" spans="1:26" x14ac:dyDescent="0.2">
      <c r="A21" t="s">
        <v>45</v>
      </c>
      <c r="C21" s="10">
        <v>33547.357000000004</v>
      </c>
      <c r="D21" s="10"/>
      <c r="E21">
        <f t="shared" ref="E21:E39" si="0">+(C21-C$7)/C$8</f>
        <v>-10416.012710964535</v>
      </c>
      <c r="F21">
        <f>ROUND(2*E21,0)/2-0.5</f>
        <v>-10416.5</v>
      </c>
      <c r="G21">
        <f t="shared" ref="G21:G39" si="1">+C21-(C$7+F21*C$8)</f>
        <v>0.28819560000556521</v>
      </c>
      <c r="H21">
        <f>+G21</f>
        <v>0.28819560000556521</v>
      </c>
      <c r="O21">
        <f t="shared" ref="O21:O39" ca="1" si="2">+C$11+C$12*$F21</f>
        <v>0.25836778137339411</v>
      </c>
      <c r="P21" s="39">
        <f t="shared" ref="P21:P39" si="3">+D$11+D$12*F21+D$13*F21^2</f>
        <v>0.29181292189637686</v>
      </c>
      <c r="Q21" s="40">
        <f t="shared" ref="Q21:Q39" si="4">+C21-15018.5</f>
        <v>18528.857000000004</v>
      </c>
      <c r="R21" s="41">
        <f t="shared" ref="R21:R39" si="5">+(P21-G21)^2</f>
        <v>1.3085017661745196E-5</v>
      </c>
      <c r="S21" s="43">
        <v>1</v>
      </c>
      <c r="T21" s="41">
        <f t="shared" ref="T21:T39" si="6">+S21*R21</f>
        <v>1.3085017661745196E-5</v>
      </c>
      <c r="U21" s="42"/>
      <c r="Y21">
        <v>24000</v>
      </c>
      <c r="Z21">
        <f>+D$11+D$12*Y21+D$13*Y21^2</f>
        <v>3.0875996014845475E-2</v>
      </c>
    </row>
    <row r="22" spans="1:26" x14ac:dyDescent="0.2">
      <c r="A22" t="s">
        <v>45</v>
      </c>
      <c r="C22" s="10">
        <v>33579.300000000003</v>
      </c>
      <c r="D22" s="10"/>
      <c r="E22">
        <f t="shared" si="0"/>
        <v>-10362.002609284935</v>
      </c>
      <c r="F22">
        <f>ROUND(2*E22,0)/2-0.5</f>
        <v>-10362.5</v>
      </c>
      <c r="G22">
        <f t="shared" si="1"/>
        <v>0.29417000000103144</v>
      </c>
      <c r="H22">
        <f>+G22</f>
        <v>0.29417000000103144</v>
      </c>
      <c r="O22">
        <f t="shared" ca="1" si="2"/>
        <v>0.25792387214393336</v>
      </c>
      <c r="P22" s="39">
        <f t="shared" si="3"/>
        <v>0.29052813159586377</v>
      </c>
      <c r="Q22" s="2">
        <f t="shared" si="4"/>
        <v>18560.800000000003</v>
      </c>
      <c r="R22" s="41">
        <f t="shared" si="5"/>
        <v>1.3263205480558505E-5</v>
      </c>
      <c r="S22" s="43">
        <v>1</v>
      </c>
      <c r="T22" s="41">
        <f t="shared" si="6"/>
        <v>1.3263205480558505E-5</v>
      </c>
      <c r="Y22">
        <v>26000</v>
      </c>
      <c r="Z22">
        <f>+D$11+D$12*Y22+D$13*Y22^2</f>
        <v>5.0071833968354684E-2</v>
      </c>
    </row>
    <row r="23" spans="1:26" x14ac:dyDescent="0.2">
      <c r="A23" t="s">
        <v>44</v>
      </c>
      <c r="C23" s="10">
        <v>39707.75677408724</v>
      </c>
      <c r="D23" s="10">
        <v>2.9999999999999997E-4</v>
      </c>
      <c r="E23">
        <f t="shared" si="0"/>
        <v>0.1604157123200726</v>
      </c>
      <c r="F23">
        <f t="shared" ref="F23:F39" si="7">ROUND(2*E23,0)/2</f>
        <v>0</v>
      </c>
      <c r="G23">
        <f t="shared" si="1"/>
        <v>9.4874087240896188E-2</v>
      </c>
      <c r="J23">
        <f>+G23</f>
        <v>9.4874087240896188E-2</v>
      </c>
      <c r="O23">
        <f t="shared" ca="1" si="2"/>
        <v>0.17273851306454915</v>
      </c>
      <c r="P23" s="39">
        <f t="shared" si="3"/>
        <v>9.4900926604082503E-2</v>
      </c>
      <c r="Q23" s="2">
        <f t="shared" si="4"/>
        <v>24689.25677408724</v>
      </c>
      <c r="R23" s="41">
        <f t="shared" si="5"/>
        <v>7.2035141624692514E-10</v>
      </c>
      <c r="S23" s="43">
        <v>1</v>
      </c>
      <c r="T23" s="41">
        <f t="shared" si="6"/>
        <v>7.2035141624692514E-10</v>
      </c>
    </row>
    <row r="24" spans="1:26" x14ac:dyDescent="0.2">
      <c r="A24" s="45" t="s">
        <v>39</v>
      </c>
      <c r="B24" s="46" t="s">
        <v>40</v>
      </c>
      <c r="C24" s="47">
        <v>53991.5288</v>
      </c>
      <c r="D24" s="47">
        <v>1.2999999999999999E-3</v>
      </c>
      <c r="E24">
        <f t="shared" si="0"/>
        <v>24151.554445320671</v>
      </c>
      <c r="F24">
        <f t="shared" si="7"/>
        <v>24151.5</v>
      </c>
      <c r="G24">
        <f t="shared" si="1"/>
        <v>3.220040000451263E-2</v>
      </c>
      <c r="K24">
        <f t="shared" ref="K24:K39" si="8">+G24</f>
        <v>3.220040000451263E-2</v>
      </c>
      <c r="O24">
        <f t="shared" ca="1" si="2"/>
        <v>-2.5799889811759458E-2</v>
      </c>
      <c r="P24" s="39">
        <f t="shared" si="3"/>
        <v>3.2197966873646955E-2</v>
      </c>
      <c r="Q24" s="2">
        <f t="shared" si="4"/>
        <v>38973.0288</v>
      </c>
      <c r="R24" s="41">
        <f t="shared" si="5"/>
        <v>5.9201258095029875E-12</v>
      </c>
      <c r="S24" s="43">
        <v>1</v>
      </c>
      <c r="T24" s="41">
        <f t="shared" si="6"/>
        <v>5.9201258095029875E-12</v>
      </c>
    </row>
    <row r="25" spans="1:26" x14ac:dyDescent="0.2">
      <c r="A25" s="48" t="s">
        <v>61</v>
      </c>
      <c r="B25" s="46"/>
      <c r="C25" s="48">
        <v>57285.026999999769</v>
      </c>
      <c r="D25" s="48">
        <v>4.0000000000000001E-3</v>
      </c>
      <c r="E25">
        <f t="shared" si="0"/>
        <v>29720.291654210516</v>
      </c>
      <c r="F25">
        <f t="shared" si="7"/>
        <v>29720.5</v>
      </c>
      <c r="G25">
        <f t="shared" si="1"/>
        <v>-0.12322120023600291</v>
      </c>
      <c r="K25">
        <f t="shared" si="8"/>
        <v>-0.12322120023600291</v>
      </c>
      <c r="O25">
        <f t="shared" ca="1" si="2"/>
        <v>-7.1580084235218139E-2</v>
      </c>
      <c r="P25" s="39">
        <f t="shared" si="3"/>
        <v>9.5821305345564489E-2</v>
      </c>
      <c r="Q25" s="2">
        <f t="shared" si="4"/>
        <v>42266.526999999769</v>
      </c>
      <c r="R25" s="41">
        <f t="shared" si="5"/>
        <v>4.7979619251450986E-2</v>
      </c>
      <c r="S25" s="43">
        <v>0.1</v>
      </c>
      <c r="T25" s="41">
        <f t="shared" si="6"/>
        <v>4.7979619251450993E-3</v>
      </c>
    </row>
    <row r="26" spans="1:26" x14ac:dyDescent="0.2">
      <c r="A26" s="49" t="s">
        <v>62</v>
      </c>
      <c r="B26" s="50" t="s">
        <v>40</v>
      </c>
      <c r="C26" s="49">
        <v>57527.216</v>
      </c>
      <c r="D26" s="49">
        <v>3.0000000000000001E-3</v>
      </c>
      <c r="E26">
        <f t="shared" si="0"/>
        <v>30129.791466867224</v>
      </c>
      <c r="F26">
        <f t="shared" si="7"/>
        <v>30130</v>
      </c>
      <c r="G26">
        <f t="shared" si="1"/>
        <v>-0.12333200000284705</v>
      </c>
      <c r="K26">
        <f t="shared" si="8"/>
        <v>-0.12333200000284705</v>
      </c>
      <c r="O26">
        <f t="shared" ca="1" si="2"/>
        <v>-7.4946395891961948E-2</v>
      </c>
      <c r="P26" s="39">
        <f t="shared" si="3"/>
        <v>0.10165460806648102</v>
      </c>
      <c r="Q26" s="2">
        <f t="shared" si="4"/>
        <v>42508.716</v>
      </c>
      <c r="R26" s="41">
        <f t="shared" si="5"/>
        <v>5.0618973810541444E-2</v>
      </c>
      <c r="S26" s="43">
        <v>1</v>
      </c>
      <c r="T26" s="41">
        <f t="shared" si="6"/>
        <v>5.0618973810541444E-2</v>
      </c>
    </row>
    <row r="27" spans="1:26" x14ac:dyDescent="0.2">
      <c r="A27" s="49" t="s">
        <v>62</v>
      </c>
      <c r="B27" s="50" t="s">
        <v>63</v>
      </c>
      <c r="C27" s="49">
        <v>57560.034</v>
      </c>
      <c r="D27" s="49">
        <v>4.0000000000000001E-3</v>
      </c>
      <c r="E27">
        <f t="shared" si="0"/>
        <v>30185.281042577742</v>
      </c>
      <c r="F27">
        <f t="shared" si="7"/>
        <v>30185.5</v>
      </c>
      <c r="G27">
        <f t="shared" si="1"/>
        <v>-0.12949720000324305</v>
      </c>
      <c r="K27">
        <f t="shared" si="8"/>
        <v>-0.12949720000324305</v>
      </c>
      <c r="O27">
        <f t="shared" ca="1" si="2"/>
        <v>-7.5402635933352141E-2</v>
      </c>
      <c r="P27" s="39">
        <f t="shared" si="3"/>
        <v>0.10245737701976554</v>
      </c>
      <c r="Q27" s="2">
        <f t="shared" si="4"/>
        <v>42541.534</v>
      </c>
      <c r="R27" s="41">
        <f t="shared" si="5"/>
        <v>5.3802925801922821E-2</v>
      </c>
      <c r="S27" s="43">
        <v>1</v>
      </c>
      <c r="T27" s="41">
        <f t="shared" si="6"/>
        <v>5.3802925801922821E-2</v>
      </c>
    </row>
    <row r="28" spans="1:26" x14ac:dyDescent="0.2">
      <c r="A28" s="49" t="s">
        <v>62</v>
      </c>
      <c r="B28" s="50" t="s">
        <v>40</v>
      </c>
      <c r="C28" s="49">
        <v>57568.023000000001</v>
      </c>
      <c r="D28" s="49">
        <v>2E-3</v>
      </c>
      <c r="E28">
        <f t="shared" si="0"/>
        <v>30198.789063186901</v>
      </c>
      <c r="F28">
        <f t="shared" si="7"/>
        <v>30199</v>
      </c>
      <c r="G28">
        <f t="shared" si="1"/>
        <v>-0.1247536000009859</v>
      </c>
      <c r="K28">
        <f t="shared" si="8"/>
        <v>-0.1247536000009859</v>
      </c>
      <c r="O28">
        <f t="shared" ca="1" si="2"/>
        <v>-7.5513613240717342E-2</v>
      </c>
      <c r="P28" s="39">
        <f t="shared" si="3"/>
        <v>0.10265308458311995</v>
      </c>
      <c r="Q28" s="2">
        <f t="shared" si="4"/>
        <v>42549.523000000001</v>
      </c>
      <c r="R28" s="41">
        <f t="shared" si="5"/>
        <v>5.1713800193535005E-2</v>
      </c>
      <c r="S28" s="43">
        <v>1</v>
      </c>
      <c r="T28" s="41">
        <f t="shared" si="6"/>
        <v>5.1713800193535005E-2</v>
      </c>
    </row>
    <row r="29" spans="1:26" x14ac:dyDescent="0.2">
      <c r="A29" s="49" t="s">
        <v>62</v>
      </c>
      <c r="B29" s="50" t="s">
        <v>40</v>
      </c>
      <c r="C29" s="49">
        <v>57604.106</v>
      </c>
      <c r="D29" s="49">
        <v>3.0000000000000001E-3</v>
      </c>
      <c r="E29">
        <f t="shared" si="0"/>
        <v>30259.799190567075</v>
      </c>
      <c r="F29">
        <f t="shared" si="7"/>
        <v>30260</v>
      </c>
      <c r="G29">
        <f t="shared" si="1"/>
        <v>-0.11876399999891873</v>
      </c>
      <c r="K29">
        <f t="shared" si="8"/>
        <v>-0.11876399999891873</v>
      </c>
      <c r="O29">
        <f t="shared" ca="1" si="2"/>
        <v>-7.6015066259182223E-2</v>
      </c>
      <c r="P29" s="39">
        <f t="shared" si="3"/>
        <v>0.1035395367219728</v>
      </c>
      <c r="Q29" s="2">
        <f t="shared" si="4"/>
        <v>42585.606</v>
      </c>
      <c r="R29" s="41">
        <f t="shared" si="5"/>
        <v>4.9418862438616769E-2</v>
      </c>
      <c r="S29" s="43">
        <v>1</v>
      </c>
      <c r="T29" s="41">
        <f t="shared" si="6"/>
        <v>4.9418862438616769E-2</v>
      </c>
    </row>
    <row r="30" spans="1:26" x14ac:dyDescent="0.2">
      <c r="A30" s="49" t="s">
        <v>62</v>
      </c>
      <c r="B30" s="50" t="s">
        <v>40</v>
      </c>
      <c r="C30" s="49">
        <v>57628.944000000003</v>
      </c>
      <c r="D30" s="49">
        <v>2E-3</v>
      </c>
      <c r="E30">
        <f t="shared" si="0"/>
        <v>30301.795963115619</v>
      </c>
      <c r="F30">
        <f t="shared" si="7"/>
        <v>30302</v>
      </c>
      <c r="G30">
        <f t="shared" si="1"/>
        <v>-0.12067279999610037</v>
      </c>
      <c r="K30">
        <f t="shared" si="8"/>
        <v>-0.12067279999610037</v>
      </c>
      <c r="O30">
        <f t="shared" ca="1" si="2"/>
        <v>-7.6360328993207216E-2</v>
      </c>
      <c r="P30" s="39">
        <f t="shared" si="3"/>
        <v>0.10415192162877768</v>
      </c>
      <c r="Q30" s="2">
        <f t="shared" si="4"/>
        <v>42610.444000000003</v>
      </c>
      <c r="R30" s="41">
        <f t="shared" si="5"/>
        <v>5.0546155453703903E-2</v>
      </c>
      <c r="S30" s="43">
        <v>1</v>
      </c>
      <c r="T30" s="41">
        <f t="shared" si="6"/>
        <v>5.0546155453703903E-2</v>
      </c>
    </row>
    <row r="31" spans="1:26" x14ac:dyDescent="0.2">
      <c r="A31" s="63" t="s">
        <v>74</v>
      </c>
      <c r="B31" s="64" t="s">
        <v>40</v>
      </c>
      <c r="C31" s="69">
        <v>58656.886928075925</v>
      </c>
      <c r="D31" s="70">
        <v>1.6260000000000001E-3</v>
      </c>
      <c r="E31">
        <f t="shared" si="0"/>
        <v>32039.87009723598</v>
      </c>
      <c r="F31">
        <f t="shared" si="7"/>
        <v>32040</v>
      </c>
      <c r="G31">
        <f t="shared" si="1"/>
        <v>-7.6827924072858877E-2</v>
      </c>
      <c r="L31">
        <f t="shared" ref="L31:L36" si="9">+G31</f>
        <v>-7.6827924072858877E-2</v>
      </c>
      <c r="O31">
        <f t="shared" ca="1" si="2"/>
        <v>-9.0647629748813491E-2</v>
      </c>
      <c r="P31" s="39">
        <f t="shared" si="3"/>
        <v>0.13095243177009974</v>
      </c>
      <c r="Q31" s="2">
        <f t="shared" si="4"/>
        <v>43638.386928075925</v>
      </c>
      <c r="R31" s="41">
        <f t="shared" si="5"/>
        <v>4.317267627422651E-2</v>
      </c>
      <c r="S31" s="43">
        <v>1</v>
      </c>
      <c r="T31" s="41">
        <f t="shared" si="6"/>
        <v>4.317267627422651E-2</v>
      </c>
      <c r="V31" s="65" t="s">
        <v>76</v>
      </c>
    </row>
    <row r="32" spans="1:26" x14ac:dyDescent="0.2">
      <c r="A32" s="63" t="s">
        <v>74</v>
      </c>
      <c r="B32" s="64" t="s">
        <v>63</v>
      </c>
      <c r="C32" s="69">
        <v>58657.182617900893</v>
      </c>
      <c r="D32" s="70">
        <v>1.655E-3</v>
      </c>
      <c r="E32">
        <f t="shared" si="0"/>
        <v>32040.370057712833</v>
      </c>
      <c r="F32">
        <f t="shared" si="7"/>
        <v>32040.5</v>
      </c>
      <c r="G32">
        <f t="shared" si="1"/>
        <v>-7.6851299105328508E-2</v>
      </c>
      <c r="L32">
        <f t="shared" si="9"/>
        <v>-7.6851299105328508E-2</v>
      </c>
      <c r="O32">
        <f t="shared" ca="1" si="2"/>
        <v>-9.0651740019456611E-2</v>
      </c>
      <c r="P32" s="39">
        <f t="shared" si="3"/>
        <v>0.13096055200121542</v>
      </c>
      <c r="Q32" s="2">
        <f t="shared" si="4"/>
        <v>43638.682617900893</v>
      </c>
      <c r="R32" s="41">
        <f t="shared" si="5"/>
        <v>4.3185765460328387E-2</v>
      </c>
      <c r="S32" s="43">
        <v>1</v>
      </c>
      <c r="T32" s="41">
        <f t="shared" si="6"/>
        <v>4.3185765460328387E-2</v>
      </c>
      <c r="V32" s="65" t="s">
        <v>76</v>
      </c>
    </row>
    <row r="33" spans="1:22" x14ac:dyDescent="0.2">
      <c r="A33" s="63" t="s">
        <v>74</v>
      </c>
      <c r="B33" s="64" t="s">
        <v>40</v>
      </c>
      <c r="C33" s="69">
        <v>58669.898945185356</v>
      </c>
      <c r="D33" s="70">
        <v>1.0399999999999999E-3</v>
      </c>
      <c r="E33">
        <f t="shared" si="0"/>
        <v>32061.871173125441</v>
      </c>
      <c r="F33">
        <f t="shared" si="7"/>
        <v>32062</v>
      </c>
      <c r="G33">
        <f t="shared" si="1"/>
        <v>-7.6191614643903449E-2</v>
      </c>
      <c r="L33">
        <f t="shared" si="9"/>
        <v>-7.6191614643903449E-2</v>
      </c>
      <c r="O33">
        <f t="shared" ca="1" si="2"/>
        <v>-9.0828481657112298E-2</v>
      </c>
      <c r="P33" s="39">
        <f t="shared" si="3"/>
        <v>0.13130994507920107</v>
      </c>
      <c r="Q33" s="2">
        <f t="shared" si="4"/>
        <v>43651.398945185356</v>
      </c>
      <c r="R33" s="41">
        <f t="shared" si="5"/>
        <v>4.3056897287521115E-2</v>
      </c>
      <c r="S33" s="43">
        <v>1</v>
      </c>
      <c r="T33" s="41">
        <f t="shared" si="6"/>
        <v>4.3056897287521115E-2</v>
      </c>
      <c r="V33" s="65" t="s">
        <v>76</v>
      </c>
    </row>
    <row r="34" spans="1:22" x14ac:dyDescent="0.2">
      <c r="A34" s="63" t="s">
        <v>74</v>
      </c>
      <c r="B34" s="64" t="s">
        <v>63</v>
      </c>
      <c r="C34" s="69">
        <v>58670.194794885814</v>
      </c>
      <c r="D34" s="70">
        <v>1.529E-3</v>
      </c>
      <c r="E34">
        <f t="shared" si="0"/>
        <v>32062.371403924164</v>
      </c>
      <c r="F34">
        <f t="shared" si="7"/>
        <v>32062.5</v>
      </c>
      <c r="G34">
        <f t="shared" si="1"/>
        <v>-7.6055114186601713E-2</v>
      </c>
      <c r="L34">
        <f t="shared" si="9"/>
        <v>-7.6055114186601713E-2</v>
      </c>
      <c r="O34">
        <f t="shared" ca="1" si="2"/>
        <v>-9.0832591927755418E-2</v>
      </c>
      <c r="P34" s="39">
        <f t="shared" si="3"/>
        <v>0.1313180756889219</v>
      </c>
      <c r="Q34" s="2">
        <f t="shared" si="4"/>
        <v>43651.694794885814</v>
      </c>
      <c r="R34" s="41">
        <f t="shared" si="5"/>
        <v>4.3003639879149971E-2</v>
      </c>
      <c r="S34" s="43">
        <v>1</v>
      </c>
      <c r="T34" s="41">
        <f t="shared" si="6"/>
        <v>4.3003639879149971E-2</v>
      </c>
      <c r="V34" s="65" t="s">
        <v>76</v>
      </c>
    </row>
    <row r="35" spans="1:22" x14ac:dyDescent="0.2">
      <c r="A35" s="63" t="s">
        <v>74</v>
      </c>
      <c r="B35" s="64" t="s">
        <v>40</v>
      </c>
      <c r="C35" s="69">
        <v>58680.544723412022</v>
      </c>
      <c r="D35" s="70">
        <v>9.1600000000000004E-4</v>
      </c>
      <c r="E35">
        <f t="shared" si="0"/>
        <v>32079.871347325756</v>
      </c>
      <c r="F35">
        <f t="shared" si="7"/>
        <v>32080</v>
      </c>
      <c r="G35">
        <f t="shared" si="1"/>
        <v>-7.6088587979029398E-2</v>
      </c>
      <c r="L35">
        <f t="shared" si="9"/>
        <v>-7.6088587979029398E-2</v>
      </c>
      <c r="O35">
        <f t="shared" ca="1" si="2"/>
        <v>-9.0976451400265862E-2</v>
      </c>
      <c r="P35" s="39">
        <f t="shared" si="3"/>
        <v>0.13160279563191113</v>
      </c>
      <c r="Q35" s="2">
        <f t="shared" si="4"/>
        <v>43662.044723412022</v>
      </c>
      <c r="R35" s="41">
        <f t="shared" si="5"/>
        <v>4.3135710826226858E-2</v>
      </c>
      <c r="S35" s="43">
        <v>1</v>
      </c>
      <c r="T35" s="41">
        <f t="shared" si="6"/>
        <v>4.3135710826226858E-2</v>
      </c>
      <c r="V35" s="65" t="s">
        <v>76</v>
      </c>
    </row>
    <row r="36" spans="1:22" x14ac:dyDescent="0.2">
      <c r="A36" s="63" t="s">
        <v>74</v>
      </c>
      <c r="B36" s="64" t="s">
        <v>63</v>
      </c>
      <c r="C36" s="69">
        <v>58680.841292083729</v>
      </c>
      <c r="D36" s="70">
        <v>1.3129999999999999E-3</v>
      </c>
      <c r="E36">
        <f t="shared" si="0"/>
        <v>32080.372793780814</v>
      </c>
      <c r="F36">
        <f t="shared" si="7"/>
        <v>32080.5</v>
      </c>
      <c r="G36">
        <f t="shared" si="1"/>
        <v>-7.5233116265735589E-2</v>
      </c>
      <c r="L36">
        <f t="shared" si="9"/>
        <v>-7.5233116265735589E-2</v>
      </c>
      <c r="O36">
        <f t="shared" ca="1" si="2"/>
        <v>-9.0980561670909038E-2</v>
      </c>
      <c r="P36" s="39">
        <f t="shared" si="3"/>
        <v>0.13161093473321817</v>
      </c>
      <c r="Q36" s="2">
        <f t="shared" si="4"/>
        <v>43662.341292083729</v>
      </c>
      <c r="R36" s="41">
        <f t="shared" si="5"/>
        <v>4.2784461433657779E-2</v>
      </c>
      <c r="S36" s="43">
        <v>1</v>
      </c>
      <c r="T36" s="41">
        <f t="shared" si="6"/>
        <v>4.2784461433657779E-2</v>
      </c>
      <c r="V36" s="65" t="s">
        <v>76</v>
      </c>
    </row>
    <row r="37" spans="1:22" x14ac:dyDescent="0.2">
      <c r="A37" s="51" t="s">
        <v>64</v>
      </c>
      <c r="B37" s="30" t="s">
        <v>63</v>
      </c>
      <c r="C37" s="52">
        <v>59117.037149999996</v>
      </c>
      <c r="D37" s="52">
        <v>2.9399999999999999E-3</v>
      </c>
      <c r="E37">
        <f t="shared" si="0"/>
        <v>32817.904729988375</v>
      </c>
      <c r="F37">
        <f t="shared" si="7"/>
        <v>32818</v>
      </c>
      <c r="G37">
        <f t="shared" si="1"/>
        <v>-5.6345199998759199E-2</v>
      </c>
      <c r="K37">
        <f t="shared" si="8"/>
        <v>-5.6345199998759199E-2</v>
      </c>
      <c r="O37">
        <f t="shared" ca="1" si="2"/>
        <v>-9.7043210869562441E-2</v>
      </c>
      <c r="P37" s="39">
        <f t="shared" si="3"/>
        <v>0.14387287349688188</v>
      </c>
      <c r="Q37" s="2">
        <f t="shared" si="4"/>
        <v>44098.537149999996</v>
      </c>
      <c r="R37" s="41">
        <f t="shared" si="5"/>
        <v>4.0087276954305931E-2</v>
      </c>
      <c r="S37" s="43">
        <v>1</v>
      </c>
      <c r="T37" s="41">
        <f t="shared" si="6"/>
        <v>4.0087276954305931E-2</v>
      </c>
    </row>
    <row r="38" spans="1:22" x14ac:dyDescent="0.2">
      <c r="A38" s="51" t="s">
        <v>64</v>
      </c>
      <c r="B38" s="30" t="s">
        <v>40</v>
      </c>
      <c r="C38" s="52">
        <v>59117.923239999996</v>
      </c>
      <c r="D38" s="52">
        <v>4.6899999999999997E-3</v>
      </c>
      <c r="E38">
        <f t="shared" si="0"/>
        <v>32819.402955295867</v>
      </c>
      <c r="F38">
        <f t="shared" si="7"/>
        <v>32819.5</v>
      </c>
      <c r="G38">
        <f t="shared" si="1"/>
        <v>-5.739480000192998E-2</v>
      </c>
      <c r="K38">
        <f t="shared" si="8"/>
        <v>-5.739480000192998E-2</v>
      </c>
      <c r="O38">
        <f t="shared" ca="1" si="2"/>
        <v>-9.7055541681491858E-2</v>
      </c>
      <c r="P38" s="39">
        <f t="shared" si="3"/>
        <v>0.14389833597352986</v>
      </c>
      <c r="Q38" s="2">
        <f t="shared" si="4"/>
        <v>44099.423239999996</v>
      </c>
      <c r="R38" s="41">
        <f t="shared" si="5"/>
        <v>4.0518926590834961E-2</v>
      </c>
      <c r="S38" s="43">
        <v>1</v>
      </c>
      <c r="T38" s="41">
        <f t="shared" si="6"/>
        <v>4.0518926590834961E-2</v>
      </c>
    </row>
    <row r="39" spans="1:22" x14ac:dyDescent="0.2">
      <c r="A39" s="61" t="s">
        <v>73</v>
      </c>
      <c r="B39" s="62" t="s">
        <v>63</v>
      </c>
      <c r="C39" s="71">
        <v>59785.07947000023</v>
      </c>
      <c r="D39" s="72">
        <v>4.5999999999999999E-3</v>
      </c>
      <c r="E39">
        <f t="shared" si="0"/>
        <v>33947.449031697317</v>
      </c>
      <c r="F39">
        <f t="shared" si="7"/>
        <v>33947.5</v>
      </c>
      <c r="G39">
        <f t="shared" si="1"/>
        <v>-3.0143999771098606E-2</v>
      </c>
      <c r="K39">
        <f t="shared" si="8"/>
        <v>-3.0143999771098606E-2</v>
      </c>
      <c r="O39">
        <f t="shared" ca="1" si="2"/>
        <v>-0.10632831225244924</v>
      </c>
      <c r="P39" s="39">
        <f t="shared" si="3"/>
        <v>0.16364716986265587</v>
      </c>
      <c r="Q39" s="2">
        <f t="shared" si="4"/>
        <v>44766.57947000023</v>
      </c>
      <c r="R39" s="41">
        <f t="shared" si="5"/>
        <v>3.7555017428018603E-2</v>
      </c>
      <c r="S39" s="43">
        <v>1</v>
      </c>
      <c r="T39" s="41">
        <f t="shared" si="6"/>
        <v>3.7555017428018603E-2</v>
      </c>
      <c r="V39" s="65" t="s">
        <v>76</v>
      </c>
    </row>
    <row r="40" spans="1:22" x14ac:dyDescent="0.2">
      <c r="C40" s="10"/>
      <c r="D40" s="10"/>
    </row>
    <row r="41" spans="1:22" x14ac:dyDescent="0.2">
      <c r="C41" s="10"/>
      <c r="D41" s="10"/>
    </row>
    <row r="42" spans="1:22" x14ac:dyDescent="0.2">
      <c r="C42" s="10"/>
      <c r="D42" s="10"/>
    </row>
    <row r="43" spans="1:22" x14ac:dyDescent="0.2">
      <c r="C43" s="10"/>
      <c r="D43" s="10"/>
    </row>
    <row r="44" spans="1:22" x14ac:dyDescent="0.2">
      <c r="C44" s="10"/>
      <c r="D44" s="10"/>
    </row>
    <row r="45" spans="1:22" x14ac:dyDescent="0.2">
      <c r="C45" s="10"/>
      <c r="D45" s="10"/>
    </row>
    <row r="46" spans="1:22" x14ac:dyDescent="0.2">
      <c r="C46" s="10"/>
      <c r="D46" s="10"/>
    </row>
    <row r="47" spans="1:22" x14ac:dyDescent="0.2">
      <c r="C47" s="10"/>
      <c r="D47" s="10"/>
    </row>
    <row r="48" spans="1:22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67" spans="3:4" x14ac:dyDescent="0.2">
      <c r="C167" s="32"/>
      <c r="D167" s="10"/>
    </row>
    <row r="168" spans="3:4" x14ac:dyDescent="0.2">
      <c r="C168" s="32"/>
      <c r="D168" s="10"/>
    </row>
    <row r="169" spans="3:4" x14ac:dyDescent="0.2">
      <c r="C169" s="32"/>
      <c r="D169" s="10"/>
    </row>
    <row r="170" spans="3:4" x14ac:dyDescent="0.2">
      <c r="C170" s="32"/>
      <c r="D170" s="10"/>
    </row>
    <row r="171" spans="3:4" x14ac:dyDescent="0.2">
      <c r="C171" s="32"/>
      <c r="D171" s="10"/>
    </row>
    <row r="172" spans="3:4" x14ac:dyDescent="0.2">
      <c r="C172" s="32"/>
      <c r="D172" s="10"/>
    </row>
    <row r="173" spans="3:4" x14ac:dyDescent="0.2">
      <c r="C173" s="32"/>
      <c r="D173" s="10"/>
    </row>
    <row r="174" spans="3:4" x14ac:dyDescent="0.2">
      <c r="C174" s="32"/>
      <c r="D174" s="10"/>
    </row>
    <row r="175" spans="3:4" x14ac:dyDescent="0.2">
      <c r="C175" s="32"/>
      <c r="D175" s="10"/>
    </row>
    <row r="176" spans="3:4" x14ac:dyDescent="0.2">
      <c r="C176" s="32"/>
      <c r="D176" s="10"/>
    </row>
    <row r="177" spans="3:4" x14ac:dyDescent="0.2">
      <c r="C177" s="32"/>
      <c r="D177" s="10"/>
    </row>
    <row r="178" spans="3:4" x14ac:dyDescent="0.2">
      <c r="C178" s="32"/>
      <c r="D178" s="10"/>
    </row>
    <row r="179" spans="3:4" x14ac:dyDescent="0.2">
      <c r="C179" s="32"/>
      <c r="D179" s="10"/>
    </row>
    <row r="180" spans="3:4" x14ac:dyDescent="0.2">
      <c r="C180" s="32"/>
      <c r="D180" s="10"/>
    </row>
    <row r="181" spans="3:4" x14ac:dyDescent="0.2">
      <c r="C181" s="32"/>
      <c r="D181" s="10"/>
    </row>
    <row r="182" spans="3:4" x14ac:dyDescent="0.2">
      <c r="C182" s="32"/>
      <c r="D182" s="10"/>
    </row>
    <row r="183" spans="3:4" x14ac:dyDescent="0.2">
      <c r="C183" s="32"/>
      <c r="D183" s="10"/>
    </row>
    <row r="184" spans="3:4" x14ac:dyDescent="0.2">
      <c r="C184" s="32"/>
      <c r="D184" s="10"/>
    </row>
    <row r="185" spans="3:4" x14ac:dyDescent="0.2">
      <c r="C185" s="32"/>
      <c r="D185" s="10"/>
    </row>
    <row r="186" spans="3:4" x14ac:dyDescent="0.2">
      <c r="C186" s="32"/>
      <c r="D186" s="10"/>
    </row>
    <row r="187" spans="3:4" x14ac:dyDescent="0.2">
      <c r="C187" s="32"/>
      <c r="D187" s="10"/>
    </row>
    <row r="188" spans="3:4" x14ac:dyDescent="0.2">
      <c r="C188" s="32"/>
      <c r="D188" s="10"/>
    </row>
    <row r="189" spans="3:4" x14ac:dyDescent="0.2">
      <c r="C189" s="32"/>
      <c r="D189" s="10"/>
    </row>
    <row r="190" spans="3:4" x14ac:dyDescent="0.2">
      <c r="C190" s="32"/>
      <c r="D190" s="10"/>
    </row>
    <row r="191" spans="3:4" x14ac:dyDescent="0.2">
      <c r="C191" s="32"/>
      <c r="D191" s="10"/>
    </row>
    <row r="192" spans="3:4" x14ac:dyDescent="0.2">
      <c r="C192" s="32"/>
      <c r="D192" s="10"/>
    </row>
    <row r="193" spans="3:4" x14ac:dyDescent="0.2">
      <c r="C193" s="32"/>
      <c r="D193" s="10"/>
    </row>
    <row r="194" spans="3:4" x14ac:dyDescent="0.2">
      <c r="C194" s="32"/>
      <c r="D194" s="10"/>
    </row>
    <row r="195" spans="3:4" x14ac:dyDescent="0.2">
      <c r="C195" s="32"/>
      <c r="D195" s="10"/>
    </row>
    <row r="196" spans="3:4" x14ac:dyDescent="0.2">
      <c r="C196" s="32"/>
      <c r="D196" s="10"/>
    </row>
    <row r="197" spans="3:4" x14ac:dyDescent="0.2">
      <c r="C197" s="32"/>
      <c r="D197" s="10"/>
    </row>
    <row r="198" spans="3:4" x14ac:dyDescent="0.2">
      <c r="C198" s="32"/>
      <c r="D198" s="10"/>
    </row>
    <row r="199" spans="3:4" x14ac:dyDescent="0.2">
      <c r="C199" s="32"/>
      <c r="D199" s="10"/>
    </row>
    <row r="200" spans="3:4" x14ac:dyDescent="0.2">
      <c r="C200" s="32"/>
      <c r="D200" s="10"/>
    </row>
    <row r="201" spans="3:4" x14ac:dyDescent="0.2">
      <c r="C201" s="32"/>
      <c r="D201" s="10"/>
    </row>
    <row r="202" spans="3:4" x14ac:dyDescent="0.2">
      <c r="C202" s="32"/>
      <c r="D202" s="10"/>
    </row>
    <row r="203" spans="3:4" x14ac:dyDescent="0.2">
      <c r="C203" s="32"/>
      <c r="D203" s="10"/>
    </row>
    <row r="204" spans="3:4" x14ac:dyDescent="0.2">
      <c r="C204" s="32"/>
      <c r="D204" s="10"/>
    </row>
    <row r="205" spans="3:4" x14ac:dyDescent="0.2">
      <c r="C205" s="32"/>
      <c r="D205" s="10"/>
    </row>
    <row r="206" spans="3:4" x14ac:dyDescent="0.2">
      <c r="C206" s="32"/>
      <c r="D206" s="10"/>
    </row>
    <row r="207" spans="3:4" x14ac:dyDescent="0.2">
      <c r="C207" s="32"/>
      <c r="D207" s="10"/>
    </row>
    <row r="208" spans="3:4" x14ac:dyDescent="0.2">
      <c r="C208" s="32"/>
      <c r="D208" s="10"/>
    </row>
    <row r="209" spans="3:4" x14ac:dyDescent="0.2">
      <c r="C209" s="32"/>
      <c r="D209" s="10"/>
    </row>
    <row r="210" spans="3:4" x14ac:dyDescent="0.2">
      <c r="C210" s="32"/>
      <c r="D210" s="10"/>
    </row>
    <row r="211" spans="3:4" x14ac:dyDescent="0.2">
      <c r="C211" s="32"/>
      <c r="D211" s="10"/>
    </row>
    <row r="212" spans="3:4" x14ac:dyDescent="0.2">
      <c r="C212" s="32"/>
      <c r="D212" s="10"/>
    </row>
    <row r="213" spans="3:4" x14ac:dyDescent="0.2">
      <c r="C213" s="32"/>
      <c r="D213" s="10"/>
    </row>
    <row r="214" spans="3:4" x14ac:dyDescent="0.2">
      <c r="C214" s="32"/>
      <c r="D214" s="10"/>
    </row>
    <row r="215" spans="3:4" x14ac:dyDescent="0.2">
      <c r="C215" s="32"/>
      <c r="D215" s="10"/>
    </row>
    <row r="216" spans="3:4" x14ac:dyDescent="0.2">
      <c r="C216" s="32"/>
      <c r="D216" s="10"/>
    </row>
    <row r="217" spans="3:4" x14ac:dyDescent="0.2">
      <c r="C217" s="32"/>
      <c r="D217" s="10"/>
    </row>
    <row r="218" spans="3:4" x14ac:dyDescent="0.2">
      <c r="C218" s="32"/>
      <c r="D218" s="10"/>
    </row>
    <row r="219" spans="3:4" x14ac:dyDescent="0.2">
      <c r="C219" s="32"/>
      <c r="D219" s="10"/>
    </row>
    <row r="220" spans="3:4" x14ac:dyDescent="0.2">
      <c r="C220" s="32"/>
      <c r="D220" s="10"/>
    </row>
    <row r="221" spans="3:4" x14ac:dyDescent="0.2">
      <c r="C221" s="32"/>
      <c r="D221" s="10"/>
    </row>
    <row r="222" spans="3:4" x14ac:dyDescent="0.2">
      <c r="C222" s="32"/>
      <c r="D222" s="10"/>
    </row>
    <row r="223" spans="3:4" x14ac:dyDescent="0.2">
      <c r="C223" s="32"/>
      <c r="D223" s="10"/>
    </row>
    <row r="224" spans="3:4" x14ac:dyDescent="0.2">
      <c r="C224" s="32"/>
      <c r="D224" s="10"/>
    </row>
    <row r="225" spans="3:4" x14ac:dyDescent="0.2">
      <c r="C225" s="32"/>
      <c r="D225" s="10"/>
    </row>
    <row r="226" spans="3:4" x14ac:dyDescent="0.2">
      <c r="C226" s="32"/>
      <c r="D226" s="10"/>
    </row>
    <row r="227" spans="3:4" x14ac:dyDescent="0.2">
      <c r="C227" s="32"/>
      <c r="D227" s="10"/>
    </row>
    <row r="228" spans="3:4" x14ac:dyDescent="0.2">
      <c r="C228" s="32"/>
      <c r="D228" s="10"/>
    </row>
    <row r="229" spans="3:4" x14ac:dyDescent="0.2">
      <c r="C229" s="32"/>
      <c r="D229" s="10"/>
    </row>
    <row r="230" spans="3:4" x14ac:dyDescent="0.2">
      <c r="C230" s="32"/>
      <c r="D230" s="10"/>
    </row>
    <row r="231" spans="3:4" x14ac:dyDescent="0.2">
      <c r="C231" s="32"/>
      <c r="D231" s="10"/>
    </row>
    <row r="232" spans="3:4" x14ac:dyDescent="0.2">
      <c r="C232" s="32"/>
      <c r="D232" s="10"/>
    </row>
    <row r="233" spans="3:4" x14ac:dyDescent="0.2">
      <c r="C233" s="32"/>
      <c r="D233" s="10"/>
    </row>
    <row r="234" spans="3:4" x14ac:dyDescent="0.2">
      <c r="C234" s="32"/>
      <c r="D234" s="10"/>
    </row>
    <row r="235" spans="3:4" x14ac:dyDescent="0.2">
      <c r="C235" s="32"/>
      <c r="D235" s="10"/>
    </row>
    <row r="236" spans="3:4" x14ac:dyDescent="0.2">
      <c r="C236" s="32"/>
      <c r="D236" s="10"/>
    </row>
    <row r="237" spans="3:4" x14ac:dyDescent="0.2">
      <c r="C237" s="32"/>
      <c r="D237" s="10"/>
    </row>
    <row r="238" spans="3:4" x14ac:dyDescent="0.2">
      <c r="C238" s="32"/>
      <c r="D238" s="10"/>
    </row>
    <row r="239" spans="3:4" x14ac:dyDescent="0.2">
      <c r="C239" s="32"/>
      <c r="D239" s="10"/>
    </row>
    <row r="240" spans="3:4" x14ac:dyDescent="0.2">
      <c r="C240" s="32"/>
      <c r="D240" s="10"/>
    </row>
    <row r="241" spans="3:4" x14ac:dyDescent="0.2">
      <c r="C241" s="32"/>
      <c r="D241" s="10"/>
    </row>
    <row r="242" spans="3:4" x14ac:dyDescent="0.2">
      <c r="C242" s="32"/>
      <c r="D242" s="10"/>
    </row>
    <row r="243" spans="3:4" x14ac:dyDescent="0.2">
      <c r="C243" s="32"/>
      <c r="D243" s="10"/>
    </row>
    <row r="244" spans="3:4" x14ac:dyDescent="0.2">
      <c r="C244" s="32"/>
      <c r="D244" s="10"/>
    </row>
    <row r="245" spans="3:4" x14ac:dyDescent="0.2">
      <c r="C245" s="32"/>
      <c r="D245" s="10"/>
    </row>
    <row r="246" spans="3:4" x14ac:dyDescent="0.2">
      <c r="C246" s="32"/>
      <c r="D246" s="10"/>
    </row>
    <row r="247" spans="3:4" x14ac:dyDescent="0.2">
      <c r="C247" s="32"/>
      <c r="D247" s="10"/>
    </row>
    <row r="248" spans="3:4" x14ac:dyDescent="0.2">
      <c r="C248" s="32"/>
      <c r="D248" s="10"/>
    </row>
    <row r="249" spans="3:4" x14ac:dyDescent="0.2">
      <c r="C249" s="32"/>
      <c r="D249" s="10"/>
    </row>
    <row r="250" spans="3:4" x14ac:dyDescent="0.2">
      <c r="C250" s="32"/>
      <c r="D250" s="10"/>
    </row>
    <row r="251" spans="3:4" x14ac:dyDescent="0.2">
      <c r="C251" s="32"/>
      <c r="D251" s="10"/>
    </row>
    <row r="252" spans="3:4" x14ac:dyDescent="0.2">
      <c r="C252" s="32"/>
      <c r="D252" s="10"/>
    </row>
    <row r="253" spans="3:4" x14ac:dyDescent="0.2">
      <c r="C253" s="32"/>
      <c r="D253" s="10"/>
    </row>
    <row r="254" spans="3:4" x14ac:dyDescent="0.2">
      <c r="C254" s="32"/>
      <c r="D254" s="10"/>
    </row>
    <row r="255" spans="3:4" x14ac:dyDescent="0.2">
      <c r="C255" s="32"/>
      <c r="D255" s="10"/>
    </row>
    <row r="256" spans="3:4" x14ac:dyDescent="0.2">
      <c r="C256" s="32"/>
      <c r="D256" s="10"/>
    </row>
    <row r="257" spans="3:4" x14ac:dyDescent="0.2">
      <c r="C257" s="32"/>
      <c r="D257" s="10"/>
    </row>
    <row r="258" spans="3:4" x14ac:dyDescent="0.2">
      <c r="C258" s="32"/>
      <c r="D258" s="10"/>
    </row>
    <row r="259" spans="3:4" x14ac:dyDescent="0.2">
      <c r="C259" s="32"/>
      <c r="D259" s="10"/>
    </row>
    <row r="260" spans="3:4" x14ac:dyDescent="0.2">
      <c r="C260" s="32"/>
      <c r="D260" s="10"/>
    </row>
    <row r="261" spans="3:4" x14ac:dyDescent="0.2">
      <c r="C261" s="32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ortState xmlns:xlrd2="http://schemas.microsoft.com/office/spreadsheetml/2017/richdata2" ref="A21:U39">
    <sortCondition ref="C21:C39"/>
  </sortState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939"/>
  <sheetViews>
    <sheetView workbookViewId="0">
      <selection activeCell="J1" sqref="J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36</v>
      </c>
      <c r="F1">
        <v>39707.661899999999</v>
      </c>
      <c r="G1">
        <v>0.59142640000000002</v>
      </c>
      <c r="H1" t="s">
        <v>37</v>
      </c>
      <c r="I1" t="s">
        <v>38</v>
      </c>
    </row>
    <row r="2" spans="1:9" x14ac:dyDescent="0.2">
      <c r="A2" t="s">
        <v>23</v>
      </c>
      <c r="B2" t="s">
        <v>37</v>
      </c>
      <c r="C2" s="3"/>
      <c r="D2" s="3"/>
      <c r="E2" t="s">
        <v>38</v>
      </c>
    </row>
    <row r="3" spans="1:9" ht="13.5" thickBot="1" x14ac:dyDescent="0.25"/>
    <row r="4" spans="1:9" ht="14.25" thickTop="1" thickBot="1" x14ac:dyDescent="0.25">
      <c r="A4" s="5" t="s">
        <v>0</v>
      </c>
      <c r="C4" s="8">
        <v>39707.661899999999</v>
      </c>
      <c r="D4" s="9">
        <v>0.59142640000000002</v>
      </c>
    </row>
    <row r="6" spans="1:9" x14ac:dyDescent="0.2">
      <c r="A6" s="5" t="s">
        <v>1</v>
      </c>
    </row>
    <row r="7" spans="1:9" x14ac:dyDescent="0.2">
      <c r="A7" t="s">
        <v>2</v>
      </c>
      <c r="C7">
        <v>39707.661899999999</v>
      </c>
    </row>
    <row r="8" spans="1:9" x14ac:dyDescent="0.2">
      <c r="A8" t="s">
        <v>3</v>
      </c>
      <c r="C8">
        <v>0.59142640000000002</v>
      </c>
    </row>
    <row r="9" spans="1:9" x14ac:dyDescent="0.2">
      <c r="A9" s="11" t="s">
        <v>29</v>
      </c>
      <c r="B9" s="12"/>
      <c r="C9" s="13">
        <v>8</v>
      </c>
      <c r="D9" s="12" t="s">
        <v>30</v>
      </c>
      <c r="E9" s="12"/>
    </row>
    <row r="10" spans="1:9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9" x14ac:dyDescent="0.2">
      <c r="A11" s="12" t="s">
        <v>15</v>
      </c>
      <c r="B11" s="12"/>
      <c r="C11" s="24">
        <f ca="1">INTERCEPT(INDIRECT($G$11):G991,INDIRECT($F$11):F991)</f>
        <v>2.8685318813889339E-2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9" x14ac:dyDescent="0.2">
      <c r="A12" s="12" t="s">
        <v>16</v>
      </c>
      <c r="B12" s="12"/>
      <c r="C12" s="24">
        <f ca="1">SLOPE(INDIRECT($G$11):G991,INDIRECT($F$11):F991)</f>
        <v>9.7003468256467796E-7</v>
      </c>
      <c r="D12" s="3"/>
      <c r="E12" s="12"/>
    </row>
    <row r="13" spans="1:9" x14ac:dyDescent="0.2">
      <c r="A13" s="12" t="s">
        <v>18</v>
      </c>
      <c r="B13" s="12"/>
      <c r="C13" s="3" t="s">
        <v>13</v>
      </c>
      <c r="D13" s="3"/>
      <c r="E13" s="12"/>
    </row>
    <row r="14" spans="1:9" x14ac:dyDescent="0.2">
      <c r="A14" s="12"/>
      <c r="B14" s="12"/>
      <c r="C14" s="12"/>
      <c r="D14" s="12"/>
      <c r="E14" s="12"/>
    </row>
    <row r="15" spans="1:9" x14ac:dyDescent="0.2">
      <c r="A15" s="14" t="s">
        <v>17</v>
      </c>
      <c r="B15" s="12"/>
      <c r="C15" s="15">
        <f ca="1">(C7+C11)+(C8+C12)*INT(MAX(F21:F3532))</f>
        <v>53991.25299902643</v>
      </c>
      <c r="D15" s="16" t="s">
        <v>31</v>
      </c>
      <c r="E15" s="17">
        <f ca="1">TODAY()+15018.5-B9/24</f>
        <v>60325.5</v>
      </c>
    </row>
    <row r="16" spans="1:9" x14ac:dyDescent="0.2">
      <c r="A16" s="18" t="s">
        <v>4</v>
      </c>
      <c r="B16" s="12"/>
      <c r="C16" s="19">
        <f ca="1">+C8+C12</f>
        <v>0.5914273700346826</v>
      </c>
      <c r="D16" s="16" t="s">
        <v>32</v>
      </c>
      <c r="E16" s="17">
        <f ca="1">ROUND(2*(E15-C15)/C16,0)/2+1</f>
        <v>10711</v>
      </c>
    </row>
    <row r="17" spans="1:25" ht="13.5" thickBot="1" x14ac:dyDescent="0.25">
      <c r="A17" s="16" t="s">
        <v>28</v>
      </c>
      <c r="B17" s="12"/>
      <c r="C17" s="12">
        <f>COUNT(C21:C2190)</f>
        <v>4</v>
      </c>
      <c r="D17" s="16" t="s">
        <v>33</v>
      </c>
      <c r="E17" s="20">
        <f ca="1">+C15+C16*E16-15018.5-C9/24</f>
        <v>45307.198226134577</v>
      </c>
    </row>
    <row r="18" spans="1:25" ht="14.25" thickTop="1" thickBot="1" x14ac:dyDescent="0.25">
      <c r="A18" s="18" t="s">
        <v>5</v>
      </c>
      <c r="B18" s="12"/>
      <c r="C18" s="21">
        <f ca="1">+C15</f>
        <v>53991.25299902643</v>
      </c>
      <c r="D18" s="22">
        <f ca="1">+C16</f>
        <v>0.5914273700346826</v>
      </c>
      <c r="E18" s="23" t="s">
        <v>34</v>
      </c>
    </row>
    <row r="19" spans="1:25" ht="13.5" thickTop="1" x14ac:dyDescent="0.2">
      <c r="A19" s="27" t="s">
        <v>35</v>
      </c>
      <c r="E19" s="28">
        <v>21</v>
      </c>
    </row>
    <row r="20" spans="1:25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48</v>
      </c>
      <c r="J20" s="7" t="s">
        <v>49</v>
      </c>
      <c r="K20" s="7" t="s">
        <v>50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25" x14ac:dyDescent="0.2">
      <c r="A21" t="s">
        <v>45</v>
      </c>
      <c r="C21" s="10">
        <v>33547.357000000004</v>
      </c>
      <c r="D21" s="10"/>
      <c r="E21">
        <f>+(C21-C$7)/C$8</f>
        <v>-10416.012710964535</v>
      </c>
      <c r="F21">
        <f>ROUND(2*E21,0)/2</f>
        <v>-10416</v>
      </c>
      <c r="G21">
        <f>+C21-(C$7+F21*C$8)</f>
        <v>-7.5175999954808503E-3</v>
      </c>
      <c r="H21">
        <f>+G21</f>
        <v>-7.5175999954808503E-3</v>
      </c>
      <c r="O21">
        <f ca="1">+C$11+C$12*$F21</f>
        <v>1.8581437560295653E-2</v>
      </c>
      <c r="Q21" s="2">
        <f>+C21-15018.5</f>
        <v>18528.857000000004</v>
      </c>
    </row>
    <row r="22" spans="1:25" x14ac:dyDescent="0.2">
      <c r="A22" t="s">
        <v>45</v>
      </c>
      <c r="C22" s="10">
        <v>33579.300000000003</v>
      </c>
      <c r="D22" s="10"/>
      <c r="E22">
        <f>+(C22-C$7)/C$8</f>
        <v>-10362.002609284935</v>
      </c>
      <c r="F22">
        <f>ROUND(2*E22,0)/2</f>
        <v>-10362</v>
      </c>
      <c r="G22">
        <f>+C22-(C$7+F22*C$8)</f>
        <v>-1.5431999927386642E-3</v>
      </c>
      <c r="H22">
        <f>+G22</f>
        <v>-1.5431999927386642E-3</v>
      </c>
      <c r="O22">
        <f ca="1">+C$11+C$12*$F22</f>
        <v>1.8633819433154147E-2</v>
      </c>
      <c r="Q22" s="2">
        <f>+C22-15018.5</f>
        <v>18560.800000000003</v>
      </c>
    </row>
    <row r="23" spans="1:25" x14ac:dyDescent="0.2">
      <c r="A23" t="s">
        <v>51</v>
      </c>
      <c r="C23" s="10">
        <v>39707.75677408724</v>
      </c>
      <c r="D23" s="10">
        <v>2.9999999999999997E-4</v>
      </c>
      <c r="E23">
        <f>+(C23-C$7)/C$8</f>
        <v>0.1604157123200726</v>
      </c>
      <c r="F23">
        <f>ROUND(2*E23,0)/2</f>
        <v>0</v>
      </c>
      <c r="G23">
        <f>+C23-(C$7+F23*C$8)</f>
        <v>9.4874087240896188E-2</v>
      </c>
      <c r="J23">
        <f>+G23</f>
        <v>9.4874087240896188E-2</v>
      </c>
      <c r="O23">
        <f ca="1">+C$11+C$12*$F23</f>
        <v>2.8685318813889339E-2</v>
      </c>
      <c r="Q23" s="2">
        <f>+C23-15018.5</f>
        <v>24689.25677408724</v>
      </c>
      <c r="V23" t="s">
        <v>43</v>
      </c>
      <c r="Y23" t="s">
        <v>44</v>
      </c>
    </row>
    <row r="24" spans="1:25" x14ac:dyDescent="0.2">
      <c r="A24" s="29" t="s">
        <v>39</v>
      </c>
      <c r="B24" s="30" t="s">
        <v>40</v>
      </c>
      <c r="C24" s="31">
        <v>53991.5288</v>
      </c>
      <c r="D24" s="31">
        <v>1.2999999999999999E-3</v>
      </c>
      <c r="E24">
        <f>+(C24-C$7)/C$8</f>
        <v>24151.554445320671</v>
      </c>
      <c r="F24">
        <f>ROUND(2*E24,0)/2</f>
        <v>24151.5</v>
      </c>
      <c r="G24">
        <f>+C24-(C$7+F24*C$8)</f>
        <v>3.220040000451263E-2</v>
      </c>
      <c r="K24">
        <f>+G24</f>
        <v>3.220040000451263E-2</v>
      </c>
      <c r="O24">
        <f ca="1">+C$11+C$12*$F24</f>
        <v>5.2113111449850161E-2</v>
      </c>
      <c r="Q24" s="2">
        <f>+C24-15018.5</f>
        <v>38973.0288</v>
      </c>
    </row>
    <row r="25" spans="1:25" x14ac:dyDescent="0.2">
      <c r="C25" s="10"/>
      <c r="D25" s="10"/>
      <c r="Q25" s="2"/>
    </row>
    <row r="26" spans="1:25" x14ac:dyDescent="0.2">
      <c r="C26" s="10"/>
      <c r="D26" s="10"/>
      <c r="Q26" s="2"/>
    </row>
    <row r="27" spans="1:25" x14ac:dyDescent="0.2">
      <c r="C27" s="10"/>
      <c r="D27" s="10"/>
      <c r="Q27" s="2"/>
    </row>
    <row r="28" spans="1:25" x14ac:dyDescent="0.2">
      <c r="C28" s="10"/>
      <c r="D28" s="10"/>
      <c r="Q28" s="2"/>
    </row>
    <row r="29" spans="1:25" x14ac:dyDescent="0.2">
      <c r="C29" s="10"/>
      <c r="D29" s="10"/>
      <c r="Q29" s="2"/>
    </row>
    <row r="30" spans="1:25" x14ac:dyDescent="0.2">
      <c r="C30" s="10"/>
      <c r="D30" s="10"/>
      <c r="Q30" s="2"/>
    </row>
    <row r="31" spans="1:25" x14ac:dyDescent="0.2">
      <c r="C31" s="10"/>
      <c r="D31" s="10"/>
      <c r="Q31" s="2"/>
    </row>
    <row r="32" spans="1:25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heetProtection sheet="1"/>
  <phoneticPr fontId="6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">
      <c r="B1" s="53" t="s">
        <v>65</v>
      </c>
      <c r="C1" s="53"/>
      <c r="D1" s="57"/>
      <c r="E1" s="57"/>
      <c r="F1" s="57"/>
    </row>
    <row r="2" spans="2:6" x14ac:dyDescent="0.2">
      <c r="B2" s="53" t="s">
        <v>66</v>
      </c>
      <c r="C2" s="53"/>
      <c r="D2" s="57"/>
      <c r="E2" s="57"/>
      <c r="F2" s="57"/>
    </row>
    <row r="3" spans="2:6" x14ac:dyDescent="0.2">
      <c r="B3" s="54"/>
      <c r="C3" s="54"/>
      <c r="D3" s="58"/>
      <c r="E3" s="58"/>
      <c r="F3" s="58"/>
    </row>
    <row r="4" spans="2:6" ht="25.5" x14ac:dyDescent="0.2">
      <c r="B4" s="54" t="s">
        <v>67</v>
      </c>
      <c r="C4" s="54"/>
      <c r="D4" s="58"/>
      <c r="E4" s="58"/>
      <c r="F4" s="58"/>
    </row>
    <row r="5" spans="2:6" x14ac:dyDescent="0.2">
      <c r="B5" s="54"/>
      <c r="C5" s="54"/>
      <c r="D5" s="58"/>
      <c r="E5" s="58"/>
      <c r="F5" s="58"/>
    </row>
    <row r="6" spans="2:6" x14ac:dyDescent="0.2">
      <c r="B6" s="53" t="s">
        <v>68</v>
      </c>
      <c r="C6" s="53"/>
      <c r="D6" s="57"/>
      <c r="E6" s="57" t="s">
        <v>69</v>
      </c>
      <c r="F6" s="57" t="s">
        <v>70</v>
      </c>
    </row>
    <row r="7" spans="2:6" ht="13.5" thickBot="1" x14ac:dyDescent="0.25">
      <c r="B7" s="54"/>
      <c r="C7" s="54"/>
      <c r="D7" s="58"/>
      <c r="E7" s="58"/>
      <c r="F7" s="58"/>
    </row>
    <row r="8" spans="2:6" ht="39" thickBot="1" x14ac:dyDescent="0.25">
      <c r="B8" s="55" t="s">
        <v>71</v>
      </c>
      <c r="C8" s="56"/>
      <c r="D8" s="59"/>
      <c r="E8" s="59">
        <v>2</v>
      </c>
      <c r="F8" s="60" t="s">
        <v>72</v>
      </c>
    </row>
    <row r="9" spans="2:6" x14ac:dyDescent="0.2">
      <c r="B9" s="54"/>
      <c r="C9" s="54"/>
      <c r="D9" s="58"/>
      <c r="E9" s="58"/>
      <c r="F9" s="58"/>
    </row>
    <row r="10" spans="2:6" x14ac:dyDescent="0.2">
      <c r="B10" s="54"/>
      <c r="C10" s="54"/>
      <c r="D10" s="58"/>
      <c r="E10" s="58"/>
      <c r="F10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2024-01-16T04:24:32Z</dcterms:modified>
</cp:coreProperties>
</file>