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6864464-1443-4472-883D-A6974028A5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5" r:id="rId2"/>
    <sheet name="A (2)" sheetId="4" r:id="rId3"/>
    <sheet name="A (old)" sheetId="2" r:id="rId4"/>
    <sheet name="A (old) (2)" sheetId="3" r:id="rId5"/>
  </sheets>
  <calcPr calcId="181029"/>
</workbook>
</file>

<file path=xl/calcChain.xml><?xml version="1.0" encoding="utf-8"?>
<calcChain xmlns="http://schemas.openxmlformats.org/spreadsheetml/2006/main">
  <c r="E37" i="1" l="1"/>
  <c r="F37" i="1"/>
  <c r="G37" i="1" s="1"/>
  <c r="K37" i="1" s="1"/>
  <c r="Q37" i="1"/>
  <c r="E31" i="1"/>
  <c r="F31" i="1" s="1"/>
  <c r="G31" i="1" s="1"/>
  <c r="U31" i="1" s="1"/>
  <c r="Q31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3" i="1"/>
  <c r="F33" i="1" s="1"/>
  <c r="G33" i="1" s="1"/>
  <c r="K33" i="1" s="1"/>
  <c r="Q33" i="1"/>
  <c r="E32" i="1"/>
  <c r="F32" i="1" s="1"/>
  <c r="G32" i="1" s="1"/>
  <c r="K32" i="1" s="1"/>
  <c r="Q32" i="1"/>
  <c r="F26" i="1"/>
  <c r="G26" i="1"/>
  <c r="K26" i="1" s="1"/>
  <c r="E26" i="1"/>
  <c r="E27" i="1"/>
  <c r="F27" i="1"/>
  <c r="G27" i="1" s="1"/>
  <c r="K27" i="1" s="1"/>
  <c r="E28" i="1"/>
  <c r="F28" i="1"/>
  <c r="G28" i="1" s="1"/>
  <c r="K28" i="1" s="1"/>
  <c r="Q26" i="1"/>
  <c r="E22" i="1"/>
  <c r="F22" i="1" s="1"/>
  <c r="U22" i="1" s="1"/>
  <c r="E29" i="1"/>
  <c r="F29" i="1" s="1"/>
  <c r="G29" i="1" s="1"/>
  <c r="K29" i="1" s="1"/>
  <c r="E30" i="1"/>
  <c r="F30" i="1"/>
  <c r="G30" i="1" s="1"/>
  <c r="K30" i="1" s="1"/>
  <c r="E23" i="1"/>
  <c r="F23" i="1"/>
  <c r="G23" i="1" s="1"/>
  <c r="K23" i="1" s="1"/>
  <c r="E24" i="1"/>
  <c r="F24" i="1"/>
  <c r="G24" i="1" s="1"/>
  <c r="K24" i="1" s="1"/>
  <c r="E25" i="1"/>
  <c r="F25" i="1" s="1"/>
  <c r="G25" i="1" s="1"/>
  <c r="K25" i="1" s="1"/>
  <c r="D9" i="1"/>
  <c r="C9" i="1"/>
  <c r="Q27" i="1"/>
  <c r="Q28" i="1"/>
  <c r="D8" i="4"/>
  <c r="C9" i="4"/>
  <c r="D9" i="4"/>
  <c r="F16" i="4"/>
  <c r="C17" i="4"/>
  <c r="E21" i="4"/>
  <c r="F21" i="4"/>
  <c r="G21" i="4"/>
  <c r="I21" i="4"/>
  <c r="Q21" i="4"/>
  <c r="E22" i="4"/>
  <c r="F22" i="4"/>
  <c r="U22" i="4"/>
  <c r="K22" i="4"/>
  <c r="Q22" i="4"/>
  <c r="E23" i="4"/>
  <c r="F23" i="4"/>
  <c r="G23" i="4"/>
  <c r="K23" i="4"/>
  <c r="Q23" i="4"/>
  <c r="E24" i="4"/>
  <c r="F24" i="4"/>
  <c r="G24" i="4"/>
  <c r="K24" i="4"/>
  <c r="Q24" i="4"/>
  <c r="E25" i="4"/>
  <c r="F25" i="4"/>
  <c r="G25" i="4"/>
  <c r="K25" i="4"/>
  <c r="Q25" i="4"/>
  <c r="E26" i="4"/>
  <c r="F26" i="4"/>
  <c r="G26" i="4"/>
  <c r="K26" i="4"/>
  <c r="Q26" i="4"/>
  <c r="E27" i="4"/>
  <c r="F27" i="4"/>
  <c r="G27" i="4"/>
  <c r="K27" i="4"/>
  <c r="Q27" i="4"/>
  <c r="E21" i="1"/>
  <c r="F21" i="1" s="1"/>
  <c r="G21" i="1" s="1"/>
  <c r="I21" i="1" s="1"/>
  <c r="Q30" i="1"/>
  <c r="K22" i="2"/>
  <c r="E21" i="2"/>
  <c r="F21" i="2"/>
  <c r="G21" i="2"/>
  <c r="I21" i="2"/>
  <c r="E24" i="2"/>
  <c r="F24" i="2"/>
  <c r="G24" i="2"/>
  <c r="K24" i="2"/>
  <c r="E25" i="2"/>
  <c r="F25" i="2"/>
  <c r="U25" i="2"/>
  <c r="K25" i="2"/>
  <c r="Q22" i="2"/>
  <c r="E8" i="3"/>
  <c r="E25" i="3"/>
  <c r="F25" i="3"/>
  <c r="U25" i="3"/>
  <c r="D8" i="3"/>
  <c r="C9" i="3"/>
  <c r="D9" i="3"/>
  <c r="E21" i="3"/>
  <c r="F21" i="3"/>
  <c r="G21" i="3"/>
  <c r="I21" i="3"/>
  <c r="E22" i="3"/>
  <c r="F22" i="3"/>
  <c r="G22" i="3"/>
  <c r="K22" i="3"/>
  <c r="E23" i="3"/>
  <c r="F23" i="3"/>
  <c r="G23" i="3"/>
  <c r="K23" i="3"/>
  <c r="E24" i="3"/>
  <c r="F24" i="3"/>
  <c r="G24" i="3"/>
  <c r="K24" i="3"/>
  <c r="F16" i="3"/>
  <c r="F17" i="3" s="1"/>
  <c r="C17" i="3"/>
  <c r="Q21" i="3"/>
  <c r="Q22" i="3"/>
  <c r="Q23" i="3"/>
  <c r="Q24" i="3"/>
  <c r="Q25" i="3"/>
  <c r="Q22" i="1"/>
  <c r="C8" i="2"/>
  <c r="E23" i="2"/>
  <c r="F23" i="2"/>
  <c r="G23" i="2"/>
  <c r="K23" i="2"/>
  <c r="D8" i="2"/>
  <c r="C9" i="2"/>
  <c r="D9" i="2"/>
  <c r="F16" i="2"/>
  <c r="C17" i="2"/>
  <c r="Q21" i="2"/>
  <c r="Q25" i="2"/>
  <c r="Q23" i="2"/>
  <c r="Q24" i="2"/>
  <c r="Q26" i="2"/>
  <c r="Q29" i="1"/>
  <c r="Q25" i="1"/>
  <c r="Q23" i="1"/>
  <c r="Q24" i="1"/>
  <c r="D8" i="1"/>
  <c r="F16" i="1"/>
  <c r="F17" i="1" s="1"/>
  <c r="C17" i="1"/>
  <c r="Q21" i="1"/>
  <c r="E22" i="2"/>
  <c r="F22" i="2"/>
  <c r="E26" i="2"/>
  <c r="F26" i="2"/>
  <c r="U26" i="2"/>
  <c r="K26" i="2"/>
  <c r="C11" i="2"/>
  <c r="C11" i="4"/>
  <c r="C12" i="1"/>
  <c r="C12" i="4"/>
  <c r="C12" i="2"/>
  <c r="C12" i="3"/>
  <c r="C11" i="3"/>
  <c r="C11" i="1"/>
  <c r="O37" i="1" l="1"/>
  <c r="O34" i="1"/>
  <c r="O31" i="1"/>
  <c r="O36" i="1"/>
  <c r="O35" i="1"/>
  <c r="O21" i="3"/>
  <c r="O22" i="3"/>
  <c r="C15" i="3"/>
  <c r="O24" i="3"/>
  <c r="O23" i="3"/>
  <c r="O25" i="3"/>
  <c r="C16" i="2"/>
  <c r="D18" i="2" s="1"/>
  <c r="O22" i="2"/>
  <c r="O26" i="2"/>
  <c r="O21" i="2"/>
  <c r="O23" i="2"/>
  <c r="O24" i="2"/>
  <c r="O25" i="2"/>
  <c r="C15" i="2"/>
  <c r="C16" i="3"/>
  <c r="D18" i="3" s="1"/>
  <c r="C16" i="4"/>
  <c r="D18" i="4" s="1"/>
  <c r="O26" i="4"/>
  <c r="O22" i="4"/>
  <c r="C15" i="4"/>
  <c r="O27" i="4"/>
  <c r="O21" i="4"/>
  <c r="O25" i="4"/>
  <c r="O23" i="4"/>
  <c r="O24" i="4"/>
  <c r="O27" i="1"/>
  <c r="O29" i="1"/>
  <c r="O26" i="1"/>
  <c r="C15" i="1"/>
  <c r="O23" i="1"/>
  <c r="O22" i="1"/>
  <c r="O24" i="1"/>
  <c r="O32" i="1"/>
  <c r="O21" i="1"/>
  <c r="O33" i="1"/>
  <c r="O28" i="1"/>
  <c r="O30" i="1"/>
  <c r="O25" i="1"/>
  <c r="C16" i="1"/>
  <c r="D18" i="1" s="1"/>
  <c r="F17" i="2"/>
  <c r="F17" i="4"/>
  <c r="F18" i="4" l="1"/>
  <c r="F19" i="4" s="1"/>
  <c r="F18" i="2"/>
  <c r="F19" i="2" s="1"/>
  <c r="C18" i="2"/>
  <c r="C18" i="1"/>
  <c r="C18" i="4"/>
  <c r="C18" i="3"/>
  <c r="F18" i="3"/>
  <c r="F19" i="3" s="1"/>
  <c r="F18" i="1"/>
  <c r="F19" i="1" s="1"/>
</calcChain>
</file>

<file path=xl/sharedStrings.xml><?xml version="1.0" encoding="utf-8"?>
<sst xmlns="http://schemas.openxmlformats.org/spreadsheetml/2006/main" count="267" uniqueCount="64">
  <si>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</si>
  <si>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</si>
  <si>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</si>
  <si>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</si>
  <si>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</si>
  <si>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</si>
  <si>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</si>
  <si>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</si>
  <si>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</si>
  <si>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</si>
  <si>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</si>
  <si>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</si>
  <si>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</si>
  <si>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</si>
  <si>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</si>
  <si>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</si>
  <si>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</si>
  <si>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</si>
  <si>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</si>
  <si>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</si>
  <si>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</si>
  <si>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</si>
  <si>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</si>
  <si>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</si>
  <si>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</si>
  <si>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</si>
  <si>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</si>
  <si>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</si>
  <si>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</si>
  <si>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</si>
  <si>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</si>
  <si>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</si>
  <si>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</si>
  <si>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</si>
  <si>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</si>
  <si>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</si>
  <si>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</si>
  <si>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</si>
  <si>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</si>
  <si>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</si>
  <si>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AW CrB</t>
  </si>
  <si>
    <t>2017K</t>
  </si>
  <si>
    <t>G2586-1787</t>
  </si>
  <si>
    <t xml:space="preserve">DSCT:     </t>
  </si>
  <si>
    <t>pr_6</t>
  </si>
  <si>
    <t xml:space="preserve">        </t>
  </si>
  <si>
    <t>AW CrB / GSC 2586-1787</t>
  </si>
  <si>
    <t>GCVS</t>
  </si>
  <si>
    <t>I</t>
  </si>
  <si>
    <t>OEJV 0179</t>
  </si>
  <si>
    <t>II</t>
  </si>
  <si>
    <t>IBVS 6209</t>
  </si>
  <si>
    <t>BAD?</t>
  </si>
  <si>
    <t>RHN 2020</t>
  </si>
  <si>
    <t>VSX</t>
  </si>
  <si>
    <t>&lt;&lt;&lt; VSX says EW</t>
  </si>
  <si>
    <t>OEJV 0203</t>
  </si>
  <si>
    <t>OEJV 0211</t>
  </si>
  <si>
    <t>RHN 2021</t>
  </si>
  <si>
    <t>JAVSO 49, 256</t>
  </si>
  <si>
    <t>JAAVSO, 50, 255</t>
  </si>
  <si>
    <t>OEJV 226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</si>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</sst>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26" borderId="0" xfId="0" applyFill="1" applyAlignment="1"/>
    <xf numFmtId="0" fontId="0" fillId="27" borderId="0" xfId="0" applyFill="1" applyAlignment="1"/>
    <xf numFmtId="0" fontId="33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8" borderId="0" xfId="0" applyFill="1" applyAlignme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vertical="center" wrapText="1"/>
      <protection locked="0"/>
    </xf>
    <xf numFmtId="0" fontId="34" fillId="0" borderId="0" xfId="0" applyFont="1" applyAlignment="1">
      <alignment horizontal="center"/>
    </xf>
    <xf numFmtId="166" fontId="34" fillId="0" borderId="0" xfId="0" applyNumberFormat="1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CrB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D0-42ED-A346-83353EAF5C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D0-42ED-A346-83353EAF5C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D0-42ED-A346-83353EAF5C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2">
                  <c:v>0.24181604999466799</c:v>
                </c:pt>
                <c:pt idx="3">
                  <c:v>0.23594069999671774</c:v>
                </c:pt>
                <c:pt idx="4">
                  <c:v>0.25036619999445975</c:v>
                </c:pt>
                <c:pt idx="5">
                  <c:v>0.23621439986891346</c:v>
                </c:pt>
                <c:pt idx="6">
                  <c:v>0.23693255000398494</c:v>
                </c:pt>
                <c:pt idx="7">
                  <c:v>0.23831125000288012</c:v>
                </c:pt>
                <c:pt idx="8">
                  <c:v>0.23240214999532327</c:v>
                </c:pt>
                <c:pt idx="9">
                  <c:v>0.23412475000077393</c:v>
                </c:pt>
                <c:pt idx="11">
                  <c:v>0.22913044999586418</c:v>
                </c:pt>
                <c:pt idx="12">
                  <c:v>0.227168299992627</c:v>
                </c:pt>
                <c:pt idx="13">
                  <c:v>0.22573764999833656</c:v>
                </c:pt>
                <c:pt idx="14">
                  <c:v>0.22418844999629073</c:v>
                </c:pt>
                <c:pt idx="15">
                  <c:v>0.22512079999432899</c:v>
                </c:pt>
                <c:pt idx="16">
                  <c:v>0.22035589999723015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D0-42ED-A346-83353EAF5C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D0-42ED-A346-83353EAF5C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D0-42ED-A346-83353EAF5C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D0-42ED-A346-83353EAF5C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0.31572044259708332</c:v>
                </c:pt>
                <c:pt idx="1">
                  <c:v>0.28507090990477424</c:v>
                </c:pt>
                <c:pt idx="2">
                  <c:v>0.24516041441946546</c:v>
                </c:pt>
                <c:pt idx="3">
                  <c:v>0.2416283770197325</c:v>
                </c:pt>
                <c:pt idx="4">
                  <c:v>0.24003579684567133</c:v>
                </c:pt>
                <c:pt idx="5">
                  <c:v>0.23608270742731668</c:v>
                </c:pt>
                <c:pt idx="6">
                  <c:v>0.23209253052545653</c:v>
                </c:pt>
                <c:pt idx="7">
                  <c:v>0.2306919326189534</c:v>
                </c:pt>
                <c:pt idx="8">
                  <c:v>0.2235056872855869</c:v>
                </c:pt>
                <c:pt idx="9">
                  <c:v>0.22281629641571932</c:v>
                </c:pt>
                <c:pt idx="10">
                  <c:v>0.21833089252822643</c:v>
                </c:pt>
                <c:pt idx="11">
                  <c:v>0.21831780282816565</c:v>
                </c:pt>
                <c:pt idx="12">
                  <c:v>0.21803201104350534</c:v>
                </c:pt>
                <c:pt idx="13">
                  <c:v>0.21493193374577801</c:v>
                </c:pt>
                <c:pt idx="14">
                  <c:v>0.21334371680507042</c:v>
                </c:pt>
                <c:pt idx="15">
                  <c:v>0.21334153518839363</c:v>
                </c:pt>
                <c:pt idx="16">
                  <c:v>0.20883431513413281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D0-42ED-A346-83353EAF5C3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1">
                  <c:v>4.7685149991593789E-2</c:v>
                </c:pt>
                <c:pt idx="10">
                  <c:v>0.1193363499987754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D0-42ED-A346-83353EAF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51768"/>
        <c:axId val="1"/>
      </c:scatterChart>
      <c:valAx>
        <c:axId val="829751768"/>
        <c:scaling>
          <c:orientation val="minMax"/>
          <c:max val="30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51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CrB - O-C Diagr.</a:t>
            </a:r>
          </a:p>
        </c:rich>
      </c:tx>
      <c:layout>
        <c:manualLayout>
          <c:xMode val="edge"/>
          <c:yMode val="edge"/>
          <c:x val="0.3828835134346945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3994189017784567"/>
          <c:w val="0.825827036744317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37-40E0-ABAD-DCE195834D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37-40E0-ABAD-DCE195834D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37-40E0-ABAD-DCE195834D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2">
                  <c:v>0.24181604999466799</c:v>
                </c:pt>
                <c:pt idx="3">
                  <c:v>0.23594069999671774</c:v>
                </c:pt>
                <c:pt idx="4">
                  <c:v>0.25036619999445975</c:v>
                </c:pt>
                <c:pt idx="5">
                  <c:v>0.23621439986891346</c:v>
                </c:pt>
                <c:pt idx="6">
                  <c:v>0.23693255000398494</c:v>
                </c:pt>
                <c:pt idx="7">
                  <c:v>0.23831125000288012</c:v>
                </c:pt>
                <c:pt idx="8">
                  <c:v>0.23240214999532327</c:v>
                </c:pt>
                <c:pt idx="9">
                  <c:v>0.23412475000077393</c:v>
                </c:pt>
                <c:pt idx="11">
                  <c:v>0.22913044999586418</c:v>
                </c:pt>
                <c:pt idx="12">
                  <c:v>0.227168299992627</c:v>
                </c:pt>
                <c:pt idx="13">
                  <c:v>0.22573764999833656</c:v>
                </c:pt>
                <c:pt idx="14">
                  <c:v>0.22418844999629073</c:v>
                </c:pt>
                <c:pt idx="15">
                  <c:v>0.22512079999432899</c:v>
                </c:pt>
                <c:pt idx="16">
                  <c:v>0.22035589999723015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37-40E0-ABAD-DCE195834D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37-40E0-ABAD-DCE195834D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37-40E0-ABAD-DCE195834D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37-40E0-ABAD-DCE195834D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0.31572044259708332</c:v>
                </c:pt>
                <c:pt idx="1">
                  <c:v>0.28507090990477424</c:v>
                </c:pt>
                <c:pt idx="2">
                  <c:v>0.24516041441946546</c:v>
                </c:pt>
                <c:pt idx="3">
                  <c:v>0.2416283770197325</c:v>
                </c:pt>
                <c:pt idx="4">
                  <c:v>0.24003579684567133</c:v>
                </c:pt>
                <c:pt idx="5">
                  <c:v>0.23608270742731668</c:v>
                </c:pt>
                <c:pt idx="6">
                  <c:v>0.23209253052545653</c:v>
                </c:pt>
                <c:pt idx="7">
                  <c:v>0.2306919326189534</c:v>
                </c:pt>
                <c:pt idx="8">
                  <c:v>0.2235056872855869</c:v>
                </c:pt>
                <c:pt idx="9">
                  <c:v>0.22281629641571932</c:v>
                </c:pt>
                <c:pt idx="10">
                  <c:v>0.21833089252822643</c:v>
                </c:pt>
                <c:pt idx="11">
                  <c:v>0.21831780282816565</c:v>
                </c:pt>
                <c:pt idx="12">
                  <c:v>0.21803201104350534</c:v>
                </c:pt>
                <c:pt idx="13">
                  <c:v>0.21493193374577801</c:v>
                </c:pt>
                <c:pt idx="14">
                  <c:v>0.21334371680507042</c:v>
                </c:pt>
                <c:pt idx="15">
                  <c:v>0.21334153518839363</c:v>
                </c:pt>
                <c:pt idx="16">
                  <c:v>0.20883431513413281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37-40E0-ABAD-DCE195834D1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1">
                  <c:v>4.7685149991593789E-2</c:v>
                </c:pt>
                <c:pt idx="10">
                  <c:v>0.1193363499987754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37-40E0-ABAD-DCE195834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8488"/>
        <c:axId val="1"/>
      </c:scatterChart>
      <c:valAx>
        <c:axId val="829748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8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70602098161153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AW CrB - O-C Diagr. --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my error estimates are too small</a:t>
            </a:r>
          </a:p>
        </c:rich>
      </c:tx>
      <c:layout>
        <c:manualLayout>
          <c:xMode val="edge"/>
          <c:yMode val="edge"/>
          <c:x val="0.187688002963593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71-4AB8-BAE7-D5EDD3AC919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71-4AB8-BAE7-D5EDD3AC91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71-4AB8-BAE7-D5EDD3AC91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2">
                  <c:v>0.24181604999466799</c:v>
                </c:pt>
                <c:pt idx="3">
                  <c:v>0.23594069999671774</c:v>
                </c:pt>
                <c:pt idx="4">
                  <c:v>0.25036619999445975</c:v>
                </c:pt>
                <c:pt idx="5">
                  <c:v>0.23621439986891346</c:v>
                </c:pt>
                <c:pt idx="6">
                  <c:v>0.23693255000398494</c:v>
                </c:pt>
                <c:pt idx="7">
                  <c:v>0.23831125000288012</c:v>
                </c:pt>
                <c:pt idx="8">
                  <c:v>0.23240214999532327</c:v>
                </c:pt>
                <c:pt idx="9">
                  <c:v>0.23412475000077393</c:v>
                </c:pt>
                <c:pt idx="11">
                  <c:v>0.22913044999586418</c:v>
                </c:pt>
                <c:pt idx="12">
                  <c:v>0.227168299992627</c:v>
                </c:pt>
                <c:pt idx="13">
                  <c:v>0.22573764999833656</c:v>
                </c:pt>
                <c:pt idx="14">
                  <c:v>0.22418844999629073</c:v>
                </c:pt>
                <c:pt idx="15">
                  <c:v>0.22512079999432899</c:v>
                </c:pt>
                <c:pt idx="16">
                  <c:v>0.22035589999723015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71-4AB8-BAE7-D5EDD3AC91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71-4AB8-BAE7-D5EDD3AC91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71-4AB8-BAE7-D5EDD3AC91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71-4AB8-BAE7-D5EDD3AC91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0.31572044259708332</c:v>
                </c:pt>
                <c:pt idx="1">
                  <c:v>0.28507090990477424</c:v>
                </c:pt>
                <c:pt idx="2">
                  <c:v>0.24516041441946546</c:v>
                </c:pt>
                <c:pt idx="3">
                  <c:v>0.2416283770197325</c:v>
                </c:pt>
                <c:pt idx="4">
                  <c:v>0.24003579684567133</c:v>
                </c:pt>
                <c:pt idx="5">
                  <c:v>0.23608270742731668</c:v>
                </c:pt>
                <c:pt idx="6">
                  <c:v>0.23209253052545653</c:v>
                </c:pt>
                <c:pt idx="7">
                  <c:v>0.2306919326189534</c:v>
                </c:pt>
                <c:pt idx="8">
                  <c:v>0.2235056872855869</c:v>
                </c:pt>
                <c:pt idx="9">
                  <c:v>0.22281629641571932</c:v>
                </c:pt>
                <c:pt idx="10">
                  <c:v>0.21833089252822643</c:v>
                </c:pt>
                <c:pt idx="11">
                  <c:v>0.21831780282816565</c:v>
                </c:pt>
                <c:pt idx="12">
                  <c:v>0.21803201104350534</c:v>
                </c:pt>
                <c:pt idx="13">
                  <c:v>0.21493193374577801</c:v>
                </c:pt>
                <c:pt idx="14">
                  <c:v>0.21334371680507042</c:v>
                </c:pt>
                <c:pt idx="15">
                  <c:v>0.21334153518839363</c:v>
                </c:pt>
                <c:pt idx="16">
                  <c:v>0.20883431513413281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71-4AB8-BAE7-D5EDD3AC919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1">
                  <c:v>4.7685149991593789E-2</c:v>
                </c:pt>
                <c:pt idx="10">
                  <c:v>0.1193363499987754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71-4AB8-BAE7-D5EDD3AC9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50784"/>
        <c:axId val="1"/>
      </c:scatterChart>
      <c:valAx>
        <c:axId val="829750784"/>
        <c:scaling>
          <c:orientation val="minMax"/>
          <c:min val="2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4"/>
          <c:min val="0.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50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21052548611602"/>
          <c:y val="0.92419947506561673"/>
          <c:w val="0.7222233256878927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CrB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B4-4E58-ABCB-8F8189DD5AEB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B4-4E58-ABCB-8F8189DD5AEB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B4-4E58-ABCB-8F8189DD5AEB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  <c:pt idx="1">
                  <c:v>4.7685149991593789E-2</c:v>
                </c:pt>
                <c:pt idx="2">
                  <c:v>6.134839999867836E-2</c:v>
                </c:pt>
                <c:pt idx="3">
                  <c:v>5.547304999345215E-2</c:v>
                </c:pt>
                <c:pt idx="4">
                  <c:v>6.9898549998470116E-2</c:v>
                </c:pt>
                <c:pt idx="5">
                  <c:v>5.1934499992057681E-2</c:v>
                </c:pt>
                <c:pt idx="6">
                  <c:v>5.365709999750834E-2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B4-4E58-ABCB-8F8189DD5AEB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B4-4E58-ABCB-8F8189DD5AEB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B4-4E58-ABCB-8F8189DD5AEB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B4-4E58-ABCB-8F8189DD5AEB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9.443393053673689E-2</c:v>
                </c:pt>
                <c:pt idx="1">
                  <c:v>8.083832005102902E-2</c:v>
                </c:pt>
                <c:pt idx="2">
                  <c:v>6.3133736533623835E-2</c:v>
                </c:pt>
                <c:pt idx="3">
                  <c:v>6.1566984923092045E-2</c:v>
                </c:pt>
                <c:pt idx="4">
                  <c:v>6.0860543492771972E-2</c:v>
                </c:pt>
                <c:pt idx="5">
                  <c:v>5.3528068537244282E-2</c:v>
                </c:pt>
                <c:pt idx="6">
                  <c:v>5.3222266493434499E-2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B4-4E58-ABCB-8F8189DD5AEB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(2)'!$U$21:$U$999</c:f>
              <c:numCache>
                <c:formatCode>General</c:formatCode>
                <c:ptCount val="979"/>
                <c:pt idx="1">
                  <c:v>4.7685149991593789E-2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B4-4E58-ABCB-8F8189DD5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9304"/>
        <c:axId val="1"/>
      </c:scatterChart>
      <c:valAx>
        <c:axId val="82973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CrB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3D-4D72-A900-BFEB9F5D12A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3D-4D72-A900-BFEB9F5D12A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3D-4D72-A900-BFEB9F5D12A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1">
                  <c:v>0</c:v>
                </c:pt>
                <c:pt idx="2">
                  <c:v>-3.3405000001948792E-2</c:v>
                </c:pt>
                <c:pt idx="3">
                  <c:v>-3.499000000738306E-2</c:v>
                </c:pt>
                <c:pt idx="4">
                  <c:v>-1.862999999866588E-2</c:v>
                </c:pt>
                <c:pt idx="5">
                  <c:v>-1.6515000002982561E-2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3D-4D72-A900-BFEB9F5D12A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3D-4D72-A900-BFEB9F5D12A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3D-4D72-A900-BFEB9F5D12A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3D-4D72-A900-BFEB9F5D12A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-2.0699909837225416E-6</c:v>
                </c:pt>
                <c:pt idx="1">
                  <c:v>-1.4492234306779926E-2</c:v>
                </c:pt>
                <c:pt idx="2">
                  <c:v>-3.3361574940941247E-2</c:v>
                </c:pt>
                <c:pt idx="3">
                  <c:v>-3.5031355077406887E-2</c:v>
                </c:pt>
                <c:pt idx="4">
                  <c:v>-3.578425161824686E-2</c:v>
                </c:pt>
                <c:pt idx="5">
                  <c:v>-4.3598905166116031E-2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3D-4D72-A900-BFEB9F5D12A6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(old)'!$U$21:$U$999</c:f>
              <c:numCache>
                <c:formatCode>General</c:formatCode>
                <c:ptCount val="979"/>
                <c:pt idx="4">
                  <c:v>-1.862999999866588E-2</c:v>
                </c:pt>
                <c:pt idx="5">
                  <c:v>-1.6515000002982561E-2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3D-4D72-A900-BFEB9F5D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1272"/>
        <c:axId val="1"/>
      </c:scatterChart>
      <c:valAx>
        <c:axId val="829741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1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203007518796993"/>
          <c:y val="0.92397937099967764"/>
          <c:w val="0.93533834586466158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CrB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BD-45DD-8681-20373B67D20B}"/>
            </c:ext>
          </c:extLst>
        </c:ser>
        <c:ser>
          <c:idx val="1"/>
          <c:order val="1"/>
          <c:tx>
            <c:strRef>
              <c:f>'A (old)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(2)'!$I$21:$I$999</c:f>
              <c:numCache>
                <c:formatCode>General</c:formatCode>
                <c:ptCount val="979"/>
                <c:pt idx="0">
                  <c:v>8.0047499999636784E-2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BD-45DD-8681-20373B67D20B}"/>
            </c:ext>
          </c:extLst>
        </c:ser>
        <c:ser>
          <c:idx val="3"/>
          <c:order val="2"/>
          <c:tx>
            <c:strRef>
              <c:f>'A (old)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BD-45DD-8681-20373B67D20B}"/>
            </c:ext>
          </c:extLst>
        </c:ser>
        <c:ser>
          <c:idx val="4"/>
          <c:order val="3"/>
          <c:tx>
            <c:strRef>
              <c:f>'A (old)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(2)'!$K$21:$K$999</c:f>
              <c:numCache>
                <c:formatCode>General</c:formatCode>
                <c:ptCount val="979"/>
                <c:pt idx="1">
                  <c:v>-4.122750000533415E-2</c:v>
                </c:pt>
                <c:pt idx="2">
                  <c:v>-3.672750000259839E-2</c:v>
                </c:pt>
                <c:pt idx="3">
                  <c:v>-3.8852500001667067E-2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BD-45DD-8681-20373B67D20B}"/>
            </c:ext>
          </c:extLst>
        </c:ser>
        <c:ser>
          <c:idx val="2"/>
          <c:order val="4"/>
          <c:tx>
            <c:strRef>
              <c:f>'A (old)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BD-45DD-8681-20373B67D20B}"/>
            </c:ext>
          </c:extLst>
        </c:ser>
        <c:ser>
          <c:idx val="5"/>
          <c:order val="5"/>
          <c:tx>
            <c:strRef>
              <c:f>'A (old)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BD-45DD-8681-20373B67D20B}"/>
            </c:ext>
          </c:extLst>
        </c:ser>
        <c:ser>
          <c:idx val="6"/>
          <c:order val="6"/>
          <c:tx>
            <c:strRef>
              <c:f>'A (old)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BD-45DD-8681-20373B67D20B}"/>
            </c:ext>
          </c:extLst>
        </c:ser>
        <c:ser>
          <c:idx val="7"/>
          <c:order val="7"/>
          <c:tx>
            <c:strRef>
              <c:f>'A (old)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(2)'!$O$21:$O$999</c:f>
              <c:numCache>
                <c:formatCode>General</c:formatCode>
                <c:ptCount val="979"/>
                <c:pt idx="0">
                  <c:v>7.9900448627472073E-2</c:v>
                </c:pt>
                <c:pt idx="1">
                  <c:v>-4.2508150145336182E-2</c:v>
                </c:pt>
                <c:pt idx="2">
                  <c:v>-3.4220084238501536E-2</c:v>
                </c:pt>
                <c:pt idx="3">
                  <c:v>-3.9932214253597165E-2</c:v>
                </c:pt>
                <c:pt idx="4">
                  <c:v>-6.9242483583111164E-2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BD-45DD-8681-20373B67D20B}"/>
            </c:ext>
          </c:extLst>
        </c:ser>
        <c:ser>
          <c:idx val="8"/>
          <c:order val="8"/>
          <c:tx>
            <c:strRef>
              <c:f>'A (old)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(2)'!$U$21:$U$999</c:f>
              <c:numCache>
                <c:formatCode>General</c:formatCode>
                <c:ptCount val="979"/>
                <c:pt idx="4">
                  <c:v>-0.10725000000093132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BD-45DD-8681-20373B67D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56360"/>
        <c:axId val="1"/>
      </c:scatterChart>
      <c:valAx>
        <c:axId val="829756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56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601503759398496"/>
          <c:y val="0.92397937099967764"/>
          <c:w val="0.92932330827067666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0E2FE616-7F54-00AE-2BCA-6CCC79FA5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123825</xdr:colOff>
      <xdr:row>0</xdr:row>
      <xdr:rowOff>0</xdr:rowOff>
    </xdr:from>
    <xdr:to>
      <xdr:col>26</xdr:col>
      <xdr:colOff>371475</xdr:colOff>
      <xdr:row>19</xdr:row>
      <xdr:rowOff>9525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73FD6E05-E0F4-B404-5CD6-9767E678E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76199</xdr:rowOff>
    </xdr:from>
    <xdr:to>
      <xdr:col>11</xdr:col>
      <xdr:colOff>371475</xdr:colOff>
      <xdr:row>23</xdr:row>
      <xdr:rowOff>9524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15E056-653C-EA84-18BF-D9BC4EEA2A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2DEC09C5-2F48-890E-C124-98F5CEAD5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9E09CFD2-5FE2-2645-AEF9-23D0C7C61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8F32C52F-A544-673F-52F0-D22B81B6E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3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40</v>
      </c>
      <c r="G1" s="30" t="s">
        <v>41</v>
      </c>
      <c r="H1" s="38"/>
      <c r="I1" s="39" t="s">
        <v>42</v>
      </c>
      <c r="J1" s="40" t="s">
        <v>40</v>
      </c>
      <c r="K1" s="41">
        <v>16.152000000000001</v>
      </c>
      <c r="L1" s="32">
        <v>35.422620000000002</v>
      </c>
      <c r="M1" s="33">
        <v>51295.370300000002</v>
      </c>
      <c r="N1" s="33">
        <v>0.18046499999999999</v>
      </c>
      <c r="O1" s="31" t="s">
        <v>43</v>
      </c>
      <c r="P1" s="32">
        <v>11.08</v>
      </c>
      <c r="Q1" s="32">
        <v>11.35</v>
      </c>
      <c r="R1" s="42" t="s">
        <v>44</v>
      </c>
      <c r="S1" s="31" t="s">
        <v>45</v>
      </c>
    </row>
    <row r="2" spans="1:19" ht="12.95" customHeight="1" x14ac:dyDescent="0.2">
      <c r="A2" t="s">
        <v>23</v>
      </c>
      <c r="B2" t="s">
        <v>43</v>
      </c>
      <c r="C2" s="51" t="s">
        <v>55</v>
      </c>
      <c r="D2" s="3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6">
        <v>51295.370300000002</v>
      </c>
      <c r="D4" s="27">
        <v>0.18046499999999999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8">
        <v>51295.370300000002</v>
      </c>
      <c r="D7" s="28" t="s">
        <v>47</v>
      </c>
    </row>
    <row r="8" spans="1:19" ht="12.95" customHeight="1" x14ac:dyDescent="0.2">
      <c r="A8" t="s">
        <v>3</v>
      </c>
      <c r="C8" s="8">
        <v>0.36093530000000001</v>
      </c>
      <c r="D8" s="28" t="str">
        <f>D7</f>
        <v>GCVS</v>
      </c>
    </row>
    <row r="9" spans="1:19" ht="12.95" customHeight="1" x14ac:dyDescent="0.2">
      <c r="A9" s="24" t="s">
        <v>32</v>
      </c>
      <c r="B9" s="36">
        <v>23</v>
      </c>
      <c r="C9" s="22" t="str">
        <f>"F"&amp;B9</f>
        <v>F23</v>
      </c>
      <c r="D9" s="23" t="str">
        <f>"G"&amp;B9</f>
        <v>G23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1">
        <f ca="1">INTERCEPT(INDIRECT($D$9):G989,INDIRECT($C$9):F989)</f>
        <v>0.31572044259708332</v>
      </c>
      <c r="D11" s="3"/>
      <c r="E11" s="10"/>
    </row>
    <row r="12" spans="1:19" ht="12.95" customHeight="1" x14ac:dyDescent="0.2">
      <c r="A12" s="10" t="s">
        <v>16</v>
      </c>
      <c r="B12" s="10"/>
      <c r="C12" s="21">
        <f ca="1">SLOPE(INDIRECT($D$9):G989,INDIRECT($C$9):F989)</f>
        <v>-4.3632333535922981E-6</v>
      </c>
      <c r="D12" s="3"/>
      <c r="E12" s="10"/>
    </row>
    <row r="13" spans="1:19" ht="12.95" customHeight="1" x14ac:dyDescent="0.2">
      <c r="A13" s="10" t="s">
        <v>18</v>
      </c>
      <c r="B13" s="10"/>
      <c r="C13" s="3" t="s">
        <v>13</v>
      </c>
    </row>
    <row r="14" spans="1:19" ht="12.95" customHeight="1" x14ac:dyDescent="0.2">
      <c r="A14" s="10"/>
      <c r="B14" s="10"/>
      <c r="C14" s="10"/>
    </row>
    <row r="15" spans="1:19" ht="12.95" customHeight="1" x14ac:dyDescent="0.2">
      <c r="A15" s="12" t="s">
        <v>17</v>
      </c>
      <c r="B15" s="10"/>
      <c r="C15" s="13">
        <f ca="1">(C7+C11)+(C8+C12)*INT(MAX(F21:F3530))</f>
        <v>60137.411178415132</v>
      </c>
      <c r="E15" s="14" t="s">
        <v>33</v>
      </c>
      <c r="F15" s="34">
        <v>1</v>
      </c>
    </row>
    <row r="16" spans="1:19" ht="12.95" customHeight="1" x14ac:dyDescent="0.2">
      <c r="A16" s="16" t="s">
        <v>4</v>
      </c>
      <c r="B16" s="10"/>
      <c r="C16" s="17">
        <f ca="1">+C8+C12</f>
        <v>0.36093093676664645</v>
      </c>
      <c r="E16" s="14" t="s">
        <v>30</v>
      </c>
      <c r="F16" s="35">
        <f ca="1">NOW()+15018.5+$C$5/24</f>
        <v>60309.777622453701</v>
      </c>
    </row>
    <row r="17" spans="1:21" ht="12.95" customHeight="1" thickBot="1" x14ac:dyDescent="0.25">
      <c r="A17" s="14" t="s">
        <v>27</v>
      </c>
      <c r="B17" s="10"/>
      <c r="C17" s="10">
        <f>COUNT(C21:C2188)</f>
        <v>17</v>
      </c>
      <c r="E17" s="14" t="s">
        <v>34</v>
      </c>
      <c r="F17" s="15">
        <f ca="1">ROUND(2*(F16-$C$7)/$C$8,0)/2+F15</f>
        <v>24976</v>
      </c>
    </row>
    <row r="18" spans="1:21" ht="12.95" customHeight="1" thickTop="1" thickBot="1" x14ac:dyDescent="0.25">
      <c r="A18" s="16" t="s">
        <v>5</v>
      </c>
      <c r="B18" s="10"/>
      <c r="C18" s="19">
        <f ca="1">+C15</f>
        <v>60137.411178415132</v>
      </c>
      <c r="D18" s="20">
        <f ca="1">+C16</f>
        <v>0.36093093676664645</v>
      </c>
      <c r="E18" s="14" t="s">
        <v>35</v>
      </c>
      <c r="F18" s="23">
        <f ca="1">ROUND(2*(F16-$C$15)/$C$16,0)/2+F15</f>
        <v>478.5</v>
      </c>
    </row>
    <row r="19" spans="1:21" ht="12.95" customHeight="1" thickTop="1" x14ac:dyDescent="0.2">
      <c r="E19" s="14" t="s">
        <v>31</v>
      </c>
      <c r="F19" s="18">
        <f ca="1">+$C$15+$C$16*F18-15018.5-$C$5/24</f>
        <v>45292.012464991305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52</v>
      </c>
    </row>
    <row r="21" spans="1:21" ht="12.95" customHeight="1" x14ac:dyDescent="0.2">
      <c r="A21" t="s">
        <v>47</v>
      </c>
      <c r="C21" s="8">
        <v>51295.370300000002</v>
      </c>
      <c r="D21" s="8" t="s">
        <v>13</v>
      </c>
      <c r="E21">
        <f t="shared" ref="E21:E36" si="0"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t="shared" ref="O21:O36" ca="1" si="1">+C$11+C$12*$F21</f>
        <v>0.31572044259708332</v>
      </c>
      <c r="Q21" s="2">
        <f t="shared" ref="Q21:Q36" si="2">+C21-15018.5</f>
        <v>36276.870300000002</v>
      </c>
    </row>
    <row r="22" spans="1:21" ht="12.95" customHeight="1" x14ac:dyDescent="0.2">
      <c r="A22" t="s">
        <v>54</v>
      </c>
      <c r="C22" s="8">
        <v>53830.807999999997</v>
      </c>
      <c r="D22" s="8"/>
      <c r="E22">
        <f t="shared" si="0"/>
        <v>7024.6321155065598</v>
      </c>
      <c r="F22">
        <f>ROUND(2*E22,0)/2</f>
        <v>7024.5</v>
      </c>
      <c r="O22">
        <f t="shared" ca="1" si="1"/>
        <v>0.28507090990477424</v>
      </c>
      <c r="Q22" s="2">
        <f t="shared" si="2"/>
        <v>38812.307999999997</v>
      </c>
      <c r="U22">
        <f>+C22-(C$7+F22*C$8)</f>
        <v>4.7685149991593789E-2</v>
      </c>
    </row>
    <row r="23" spans="1:21" ht="12.95" customHeight="1" x14ac:dyDescent="0.2">
      <c r="A23" s="55" t="s">
        <v>49</v>
      </c>
      <c r="B23" s="56" t="s">
        <v>50</v>
      </c>
      <c r="C23" s="57">
        <v>57132.477319999998</v>
      </c>
      <c r="D23" s="57">
        <v>2.9999999999999997E-4</v>
      </c>
      <c r="E23">
        <f t="shared" si="0"/>
        <v>16172.169970629073</v>
      </c>
      <c r="F23" s="54">
        <f t="shared" ref="F23:F37" si="3">ROUND(2*E23,0)/2-0.5</f>
        <v>16171.5</v>
      </c>
      <c r="G23">
        <f t="shared" ref="G23:G36" si="4">+C23-(C$7+F23*C$8)</f>
        <v>0.24181604999466799</v>
      </c>
      <c r="K23">
        <f t="shared" ref="K23:K30" si="5">+G23</f>
        <v>0.24181604999466799</v>
      </c>
      <c r="O23">
        <f t="shared" ca="1" si="1"/>
        <v>0.24516041441946546</v>
      </c>
      <c r="Q23" s="2">
        <f t="shared" si="2"/>
        <v>42113.977319999998</v>
      </c>
    </row>
    <row r="24" spans="1:21" ht="12.95" customHeight="1" x14ac:dyDescent="0.2">
      <c r="A24" s="55" t="s">
        <v>49</v>
      </c>
      <c r="B24" s="56" t="s">
        <v>48</v>
      </c>
      <c r="C24" s="57">
        <v>57424.648569999998</v>
      </c>
      <c r="D24" s="57">
        <v>5.0000000000000001E-4</v>
      </c>
      <c r="E24">
        <f t="shared" si="0"/>
        <v>16981.653692503878</v>
      </c>
      <c r="F24" s="54">
        <f t="shared" si="3"/>
        <v>16981</v>
      </c>
      <c r="G24">
        <f t="shared" si="4"/>
        <v>0.23594069999671774</v>
      </c>
      <c r="K24">
        <f t="shared" si="5"/>
        <v>0.23594069999671774</v>
      </c>
      <c r="O24">
        <f t="shared" ca="1" si="1"/>
        <v>0.2416283770197325</v>
      </c>
      <c r="Q24" s="2">
        <f t="shared" si="2"/>
        <v>42406.148569999998</v>
      </c>
    </row>
    <row r="25" spans="1:21" ht="12.95" customHeight="1" x14ac:dyDescent="0.2">
      <c r="A25" s="58" t="s">
        <v>51</v>
      </c>
      <c r="B25" s="59" t="s">
        <v>48</v>
      </c>
      <c r="C25" s="60">
        <v>57556.40438</v>
      </c>
      <c r="D25" s="60">
        <v>1E-4</v>
      </c>
      <c r="E25">
        <f t="shared" si="0"/>
        <v>17346.693659500739</v>
      </c>
      <c r="F25" s="54">
        <f t="shared" si="3"/>
        <v>17346</v>
      </c>
      <c r="G25">
        <f t="shared" si="4"/>
        <v>0.25036619999445975</v>
      </c>
      <c r="K25">
        <f t="shared" si="5"/>
        <v>0.25036619999445975</v>
      </c>
      <c r="O25">
        <f t="shared" ca="1" si="1"/>
        <v>0.24003579684567133</v>
      </c>
      <c r="Q25" s="2">
        <f t="shared" si="2"/>
        <v>42537.90438</v>
      </c>
    </row>
    <row r="26" spans="1:21" ht="12.95" customHeight="1" x14ac:dyDescent="0.2">
      <c r="A26" s="46" t="s">
        <v>57</v>
      </c>
      <c r="B26" s="47" t="s">
        <v>48</v>
      </c>
      <c r="C26" s="48">
        <v>57883.397609999869</v>
      </c>
      <c r="D26" s="48">
        <v>4.0000000000000002E-4</v>
      </c>
      <c r="E26">
        <f t="shared" si="0"/>
        <v>18252.654450811173</v>
      </c>
      <c r="F26" s="54">
        <f t="shared" si="3"/>
        <v>18252</v>
      </c>
      <c r="G26">
        <f t="shared" si="4"/>
        <v>0.23621439986891346</v>
      </c>
      <c r="K26">
        <f t="shared" si="5"/>
        <v>0.23621439986891346</v>
      </c>
      <c r="O26">
        <f t="shared" ca="1" si="1"/>
        <v>0.23608270742731668</v>
      </c>
      <c r="Q26" s="2">
        <f t="shared" si="2"/>
        <v>42864.897609999869</v>
      </c>
    </row>
    <row r="27" spans="1:21" ht="12.95" customHeight="1" x14ac:dyDescent="0.2">
      <c r="A27" s="61" t="s">
        <v>56</v>
      </c>
      <c r="B27" s="62" t="s">
        <v>50</v>
      </c>
      <c r="C27" s="63">
        <v>58213.473660000003</v>
      </c>
      <c r="D27" s="63">
        <v>1.9000000000000001E-4</v>
      </c>
      <c r="E27">
        <f t="shared" si="0"/>
        <v>19167.156440503328</v>
      </c>
      <c r="F27" s="54">
        <f t="shared" si="3"/>
        <v>19166.5</v>
      </c>
      <c r="G27">
        <f t="shared" si="4"/>
        <v>0.23693255000398494</v>
      </c>
      <c r="K27">
        <f t="shared" si="5"/>
        <v>0.23693255000398494</v>
      </c>
      <c r="O27">
        <f t="shared" ca="1" si="1"/>
        <v>0.23209253052545653</v>
      </c>
      <c r="Q27" s="2">
        <f t="shared" si="2"/>
        <v>43194.973660000003</v>
      </c>
    </row>
    <row r="28" spans="1:21" ht="12.95" customHeight="1" x14ac:dyDescent="0.2">
      <c r="A28" s="61" t="s">
        <v>56</v>
      </c>
      <c r="B28" s="62" t="s">
        <v>50</v>
      </c>
      <c r="C28" s="63">
        <v>58329.335270000003</v>
      </c>
      <c r="D28" s="63">
        <v>1.8000000000000001E-4</v>
      </c>
      <c r="E28">
        <f t="shared" si="0"/>
        <v>19488.160260301502</v>
      </c>
      <c r="F28" s="54">
        <f t="shared" si="3"/>
        <v>19487.5</v>
      </c>
      <c r="G28">
        <f t="shared" si="4"/>
        <v>0.23831125000288012</v>
      </c>
      <c r="K28">
        <f t="shared" si="5"/>
        <v>0.23831125000288012</v>
      </c>
      <c r="O28">
        <f t="shared" ca="1" si="1"/>
        <v>0.2306919326189534</v>
      </c>
      <c r="Q28" s="2">
        <f t="shared" si="2"/>
        <v>43310.835270000003</v>
      </c>
    </row>
    <row r="29" spans="1:21" ht="12.95" customHeight="1" x14ac:dyDescent="0.2">
      <c r="A29" s="5" t="s">
        <v>53</v>
      </c>
      <c r="C29" s="8">
        <v>58923.789799999999</v>
      </c>
      <c r="D29" s="8">
        <v>4.0000000000000002E-4</v>
      </c>
      <c r="E29">
        <f t="shared" si="0"/>
        <v>21135.143888669234</v>
      </c>
      <c r="F29" s="54">
        <f t="shared" si="3"/>
        <v>21134.5</v>
      </c>
      <c r="G29">
        <f t="shared" si="4"/>
        <v>0.23240214999532327</v>
      </c>
      <c r="K29">
        <f t="shared" si="5"/>
        <v>0.23240214999532327</v>
      </c>
      <c r="O29">
        <f t="shared" ca="1" si="1"/>
        <v>0.2235056872855869</v>
      </c>
      <c r="Q29" s="2">
        <f t="shared" si="2"/>
        <v>43905.289799999999</v>
      </c>
    </row>
    <row r="30" spans="1:21" ht="12.95" customHeight="1" x14ac:dyDescent="0.2">
      <c r="A30" s="5" t="s">
        <v>53</v>
      </c>
      <c r="C30" s="52">
        <v>58980.819300000003</v>
      </c>
      <c r="D30" s="53">
        <v>2.9999999999999997E-4</v>
      </c>
      <c r="E30">
        <f t="shared" si="0"/>
        <v>21293.148661269763</v>
      </c>
      <c r="F30" s="54">
        <f t="shared" si="3"/>
        <v>21292.5</v>
      </c>
      <c r="G30">
        <f t="shared" si="4"/>
        <v>0.23412475000077393</v>
      </c>
      <c r="K30">
        <f t="shared" si="5"/>
        <v>0.23412475000077393</v>
      </c>
      <c r="O30">
        <f t="shared" ca="1" si="1"/>
        <v>0.22281629641571932</v>
      </c>
      <c r="Q30" s="2">
        <f t="shared" si="2"/>
        <v>43962.319300000003</v>
      </c>
    </row>
    <row r="31" spans="1:21" ht="12.95" customHeight="1" x14ac:dyDescent="0.2">
      <c r="A31" s="67" t="s">
        <v>61</v>
      </c>
      <c r="B31" s="68" t="s">
        <v>50</v>
      </c>
      <c r="C31" s="69">
        <v>59351.745999999999</v>
      </c>
      <c r="D31" s="70">
        <v>3.0000000000000001E-3</v>
      </c>
      <c r="E31">
        <f t="shared" si="0"/>
        <v>22320.830630863748</v>
      </c>
      <c r="F31" s="54">
        <f t="shared" si="3"/>
        <v>22320.5</v>
      </c>
      <c r="G31">
        <f t="shared" si="4"/>
        <v>0.1193363499987754</v>
      </c>
      <c r="O31">
        <f t="shared" ca="1" si="1"/>
        <v>0.21833089252822643</v>
      </c>
      <c r="Q31" s="2">
        <f t="shared" si="2"/>
        <v>44333.245999999999</v>
      </c>
      <c r="U31">
        <f>+G31</f>
        <v>0.1193363499987754</v>
      </c>
    </row>
    <row r="32" spans="1:21" ht="12.95" customHeight="1" x14ac:dyDescent="0.2">
      <c r="A32" s="5" t="s">
        <v>58</v>
      </c>
      <c r="C32" s="8">
        <v>59352.938600000001</v>
      </c>
      <c r="D32" s="8">
        <v>5.0000000000000001E-4</v>
      </c>
      <c r="E32">
        <f t="shared" si="0"/>
        <v>22324.134824163772</v>
      </c>
      <c r="F32" s="54">
        <f t="shared" si="3"/>
        <v>22323.5</v>
      </c>
      <c r="G32">
        <f t="shared" si="4"/>
        <v>0.22913044999586418</v>
      </c>
      <c r="K32">
        <f t="shared" ref="K32:K37" si="6">+G32</f>
        <v>0.22913044999586418</v>
      </c>
      <c r="O32">
        <f t="shared" ca="1" si="1"/>
        <v>0.21831780282816565</v>
      </c>
      <c r="Q32" s="2">
        <f t="shared" si="2"/>
        <v>44334.438600000001</v>
      </c>
    </row>
    <row r="33" spans="1:17" ht="12.95" customHeight="1" x14ac:dyDescent="0.2">
      <c r="A33" s="64" t="s">
        <v>59</v>
      </c>
      <c r="B33" s="62" t="s">
        <v>48</v>
      </c>
      <c r="C33" s="63">
        <v>59376.577899999997</v>
      </c>
      <c r="D33" s="63">
        <v>2.0000000000000001E-4</v>
      </c>
      <c r="E33">
        <f t="shared" si="0"/>
        <v>22389.629387870886</v>
      </c>
      <c r="F33" s="54">
        <f t="shared" si="3"/>
        <v>22389</v>
      </c>
      <c r="G33">
        <f t="shared" si="4"/>
        <v>0.227168299992627</v>
      </c>
      <c r="K33">
        <f t="shared" si="6"/>
        <v>0.227168299992627</v>
      </c>
      <c r="O33">
        <f t="shared" ca="1" si="1"/>
        <v>0.21803201104350534</v>
      </c>
      <c r="Q33" s="2">
        <f t="shared" si="2"/>
        <v>44358.077899999997</v>
      </c>
    </row>
    <row r="34" spans="1:17" ht="12.95" customHeight="1" x14ac:dyDescent="0.2">
      <c r="A34" s="67" t="s">
        <v>62</v>
      </c>
      <c r="B34" s="68" t="s">
        <v>50</v>
      </c>
      <c r="C34" s="70">
        <v>59633.021000000001</v>
      </c>
      <c r="D34" s="70">
        <v>1E-3</v>
      </c>
      <c r="E34">
        <f t="shared" si="0"/>
        <v>23100.125424141108</v>
      </c>
      <c r="F34" s="54">
        <f t="shared" si="3"/>
        <v>23099.5</v>
      </c>
      <c r="G34">
        <f t="shared" si="4"/>
        <v>0.22573764999833656</v>
      </c>
      <c r="K34">
        <f t="shared" si="6"/>
        <v>0.22573764999833656</v>
      </c>
      <c r="O34">
        <f t="shared" ca="1" si="1"/>
        <v>0.21493193374577801</v>
      </c>
      <c r="Q34" s="2">
        <f t="shared" si="2"/>
        <v>44614.521000000001</v>
      </c>
    </row>
    <row r="35" spans="1:17" ht="12.95" customHeight="1" x14ac:dyDescent="0.2">
      <c r="A35" s="65" t="s">
        <v>60</v>
      </c>
      <c r="B35" s="66" t="s">
        <v>48</v>
      </c>
      <c r="C35" s="74">
        <v>59764.399899999997</v>
      </c>
      <c r="D35" s="73">
        <v>2.9999999999999997E-4</v>
      </c>
      <c r="E35">
        <f t="shared" si="0"/>
        <v>23464.121131959091</v>
      </c>
      <c r="F35" s="54">
        <f t="shared" si="3"/>
        <v>23463.5</v>
      </c>
      <c r="G35">
        <f t="shared" si="4"/>
        <v>0.22418844999629073</v>
      </c>
      <c r="K35">
        <f t="shared" si="6"/>
        <v>0.22418844999629073</v>
      </c>
      <c r="O35">
        <f t="shared" ca="1" si="1"/>
        <v>0.21334371680507042</v>
      </c>
      <c r="Q35" s="2">
        <f t="shared" si="2"/>
        <v>44745.899899999997</v>
      </c>
    </row>
    <row r="36" spans="1:17" ht="12.95" customHeight="1" x14ac:dyDescent="0.2">
      <c r="A36" s="65" t="s">
        <v>60</v>
      </c>
      <c r="B36" s="66" t="s">
        <v>48</v>
      </c>
      <c r="C36" s="74">
        <v>59764.581299999998</v>
      </c>
      <c r="D36" s="73">
        <v>2.9999999999999997E-4</v>
      </c>
      <c r="E36">
        <f t="shared" si="0"/>
        <v>23464.623715109039</v>
      </c>
      <c r="F36" s="54">
        <f t="shared" si="3"/>
        <v>23464</v>
      </c>
      <c r="G36">
        <f t="shared" si="4"/>
        <v>0.22512079999432899</v>
      </c>
      <c r="K36">
        <f t="shared" si="6"/>
        <v>0.22512079999432899</v>
      </c>
      <c r="O36">
        <f t="shared" ca="1" si="1"/>
        <v>0.21334153518839363</v>
      </c>
      <c r="Q36" s="2">
        <f t="shared" si="2"/>
        <v>44746.081299999998</v>
      </c>
    </row>
    <row r="37" spans="1:17" ht="12.95" customHeight="1" x14ac:dyDescent="0.2">
      <c r="A37" s="71" t="s">
        <v>63</v>
      </c>
      <c r="B37" s="72" t="s">
        <v>48</v>
      </c>
      <c r="C37" s="73">
        <v>60137.422700000003</v>
      </c>
      <c r="D37" s="73">
        <v>2.9999999999999997E-4</v>
      </c>
      <c r="E37">
        <f t="shared" ref="E37" si="7">+(C37-C$7)/C$8</f>
        <v>24497.61051357404</v>
      </c>
      <c r="F37" s="54">
        <f t="shared" si="3"/>
        <v>24497</v>
      </c>
      <c r="G37">
        <f t="shared" ref="G37" si="8">+C37-(C$7+F37*C$8)</f>
        <v>0.22035589999723015</v>
      </c>
      <c r="K37">
        <f t="shared" si="6"/>
        <v>0.22035589999723015</v>
      </c>
      <c r="O37">
        <f t="shared" ref="O37" ca="1" si="9">+C$11+C$12*$F37</f>
        <v>0.20883431513413281</v>
      </c>
      <c r="Q37" s="2">
        <f t="shared" ref="Q37" si="10">+C37-15018.5</f>
        <v>45118.922700000003</v>
      </c>
    </row>
    <row r="38" spans="1:17" ht="12.95" customHeight="1" x14ac:dyDescent="0.2">
      <c r="C38" s="8"/>
      <c r="D38" s="8"/>
    </row>
    <row r="39" spans="1:17" ht="12.95" customHeight="1" x14ac:dyDescent="0.2">
      <c r="C39" s="8"/>
      <c r="D39" s="8"/>
    </row>
    <row r="40" spans="1:17" ht="12.95" customHeight="1" x14ac:dyDescent="0.2">
      <c r="C40" s="8"/>
      <c r="D40" s="8"/>
    </row>
    <row r="41" spans="1:17" ht="12.95" customHeight="1" x14ac:dyDescent="0.2">
      <c r="C41" s="8"/>
      <c r="D41" s="8"/>
    </row>
    <row r="42" spans="1:17" ht="12.95" customHeight="1" x14ac:dyDescent="0.2">
      <c r="C42" s="8"/>
      <c r="D42" s="8"/>
    </row>
    <row r="43" spans="1:17" ht="12.95" customHeight="1" x14ac:dyDescent="0.2">
      <c r="C43" s="8"/>
      <c r="D43" s="8"/>
    </row>
    <row r="44" spans="1:17" ht="12.95" customHeight="1" x14ac:dyDescent="0.2">
      <c r="C44" s="8"/>
      <c r="D44" s="8"/>
    </row>
    <row r="45" spans="1:17" ht="12.95" customHeight="1" x14ac:dyDescent="0.2">
      <c r="C45" s="8"/>
      <c r="D45" s="8"/>
    </row>
    <row r="46" spans="1:17" ht="12.95" customHeight="1" x14ac:dyDescent="0.2">
      <c r="C46" s="8"/>
      <c r="D46" s="8"/>
    </row>
    <row r="47" spans="1:17" ht="12.95" customHeight="1" x14ac:dyDescent="0.2">
      <c r="C47" s="8"/>
      <c r="D47" s="8"/>
    </row>
    <row r="48" spans="1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rotectedRanges>
    <protectedRange sqref="A28:D30 A31" name="Range1"/>
  </protectedRanges>
  <sortState xmlns:xlrd2="http://schemas.microsoft.com/office/spreadsheetml/2017/richdata2" ref="A21:U36">
    <sortCondition ref="C21:C36"/>
  </sortState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6FDD-DCB1-4A7D-828B-FAAF5D085535}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selection activeCell="U22" sqref="U2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40</v>
      </c>
      <c r="G1" s="30" t="s">
        <v>41</v>
      </c>
      <c r="H1" s="38"/>
      <c r="I1" s="39" t="s">
        <v>42</v>
      </c>
      <c r="J1" s="40" t="s">
        <v>40</v>
      </c>
      <c r="K1" s="41">
        <v>16.152000000000001</v>
      </c>
      <c r="L1" s="32">
        <v>35.422620000000002</v>
      </c>
      <c r="M1" s="33">
        <v>51295.370300000002</v>
      </c>
      <c r="N1" s="33">
        <v>0.18046499999999999</v>
      </c>
      <c r="O1" s="31" t="s">
        <v>43</v>
      </c>
      <c r="P1" s="32">
        <v>11.08</v>
      </c>
      <c r="Q1" s="32">
        <v>11.35</v>
      </c>
      <c r="R1" s="42" t="s">
        <v>44</v>
      </c>
      <c r="S1" s="31" t="s">
        <v>45</v>
      </c>
    </row>
    <row r="2" spans="1:19" x14ac:dyDescent="0.2">
      <c r="A2" t="s">
        <v>23</v>
      </c>
      <c r="B2" t="s">
        <v>43</v>
      </c>
      <c r="C2" s="51" t="s">
        <v>55</v>
      </c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51295.370300000002</v>
      </c>
      <c r="D4" s="27">
        <v>0.18046499999999999</v>
      </c>
    </row>
    <row r="5" spans="1:19" ht="13.5" thickTop="1" x14ac:dyDescent="0.2">
      <c r="A5" s="9" t="s">
        <v>28</v>
      </c>
      <c r="B5" s="10"/>
      <c r="C5" s="11">
        <v>8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51295.370300000002</v>
      </c>
      <c r="D7" s="28" t="s">
        <v>47</v>
      </c>
    </row>
    <row r="8" spans="1:19" x14ac:dyDescent="0.2">
      <c r="A8" t="s">
        <v>3</v>
      </c>
      <c r="C8" s="8">
        <v>0.36093530000000001</v>
      </c>
      <c r="D8" s="28" t="str">
        <f>D7</f>
        <v>GCVS</v>
      </c>
    </row>
    <row r="9" spans="1:19" x14ac:dyDescent="0.2">
      <c r="A9" s="24" t="s">
        <v>32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9.443393053673689E-2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-1.9354559734796597E-6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58980.818865166497</v>
      </c>
      <c r="E15" s="14" t="s">
        <v>33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0.36093336454402652</v>
      </c>
      <c r="E16" s="14" t="s">
        <v>30</v>
      </c>
      <c r="F16" s="35">
        <f ca="1">NOW()+15018.5+$C$5/24</f>
        <v>60310.506789120373</v>
      </c>
    </row>
    <row r="17" spans="1:21" ht="13.5" thickBot="1" x14ac:dyDescent="0.25">
      <c r="A17" s="14" t="s">
        <v>27</v>
      </c>
      <c r="B17" s="10"/>
      <c r="C17" s="10">
        <f>COUNT(C21:C2191)</f>
        <v>7</v>
      </c>
      <c r="E17" s="14" t="s">
        <v>34</v>
      </c>
      <c r="F17" s="15">
        <f ca="1">ROUND(2*(F16-$C$7)/$C$8,0)/2+F15</f>
        <v>24978</v>
      </c>
    </row>
    <row r="18" spans="1:21" ht="14.25" thickTop="1" thickBot="1" x14ac:dyDescent="0.25">
      <c r="A18" s="16" t="s">
        <v>5</v>
      </c>
      <c r="B18" s="10"/>
      <c r="C18" s="19">
        <f ca="1">+C15</f>
        <v>58980.818865166497</v>
      </c>
      <c r="D18" s="20">
        <f ca="1">+C16</f>
        <v>0.36093336454402652</v>
      </c>
      <c r="E18" s="14" t="s">
        <v>35</v>
      </c>
      <c r="F18" s="23">
        <f ca="1">ROUND(2*(F16-$C$15)/$C$16,0)/2+F15</f>
        <v>3685</v>
      </c>
    </row>
    <row r="19" spans="1:21" ht="13.5" thickTop="1" x14ac:dyDescent="0.2">
      <c r="E19" s="14" t="s">
        <v>31</v>
      </c>
      <c r="F19" s="18">
        <f ca="1">+$C$15+$C$16*F18-15018.5-$C$5/24</f>
        <v>45292.024980177899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52</v>
      </c>
    </row>
    <row r="21" spans="1:21" x14ac:dyDescent="0.2">
      <c r="A21" t="s">
        <v>47</v>
      </c>
      <c r="C21" s="8">
        <v>51295.370300000002</v>
      </c>
      <c r="D21" s="8" t="s">
        <v>13</v>
      </c>
      <c r="E21">
        <f t="shared" ref="E21:E27" si="0">+(C21-C$7)/C$8</f>
        <v>0</v>
      </c>
      <c r="F21">
        <f t="shared" ref="F21:F27" si="1">ROUND(2*E21,0)/2</f>
        <v>0</v>
      </c>
      <c r="G21">
        <f>+C21-(C$7+F21*C$8)</f>
        <v>0</v>
      </c>
      <c r="I21">
        <f>+G21</f>
        <v>0</v>
      </c>
      <c r="O21">
        <f t="shared" ref="O21:O27" ca="1" si="2">+C$11+C$12*$F21</f>
        <v>9.443393053673689E-2</v>
      </c>
      <c r="Q21" s="2">
        <f t="shared" ref="Q21:Q27" si="3">+C21-15018.5</f>
        <v>36276.870300000002</v>
      </c>
    </row>
    <row r="22" spans="1:21" x14ac:dyDescent="0.2">
      <c r="A22" t="s">
        <v>54</v>
      </c>
      <c r="C22" s="8">
        <v>53830.807999999997</v>
      </c>
      <c r="D22" s="8"/>
      <c r="E22">
        <f t="shared" si="0"/>
        <v>7024.6321155065598</v>
      </c>
      <c r="F22">
        <f t="shared" si="1"/>
        <v>7024.5</v>
      </c>
      <c r="K22">
        <f>+U22</f>
        <v>4.7685149991593789E-2</v>
      </c>
      <c r="O22">
        <f t="shared" ca="1" si="2"/>
        <v>8.083832005102902E-2</v>
      </c>
      <c r="Q22" s="2">
        <f t="shared" si="3"/>
        <v>38812.307999999997</v>
      </c>
      <c r="U22">
        <f>+C22-(C$7+F22*C$8)</f>
        <v>4.7685149991593789E-2</v>
      </c>
    </row>
    <row r="23" spans="1:21" x14ac:dyDescent="0.2">
      <c r="A23" s="46" t="s">
        <v>49</v>
      </c>
      <c r="B23" s="47" t="s">
        <v>50</v>
      </c>
      <c r="C23" s="48">
        <v>57132.477319999998</v>
      </c>
      <c r="D23" s="48">
        <v>2.9999999999999997E-4</v>
      </c>
      <c r="E23">
        <f t="shared" si="0"/>
        <v>16172.169970629073</v>
      </c>
      <c r="F23">
        <f t="shared" si="1"/>
        <v>16172</v>
      </c>
      <c r="G23">
        <f>+C23-(C$7+F23*C$8)</f>
        <v>6.134839999867836E-2</v>
      </c>
      <c r="K23">
        <f>+G23</f>
        <v>6.134839999867836E-2</v>
      </c>
      <c r="O23">
        <f t="shared" ca="1" si="2"/>
        <v>6.3133736533623835E-2</v>
      </c>
      <c r="Q23" s="2">
        <f t="shared" si="3"/>
        <v>42113.977319999998</v>
      </c>
    </row>
    <row r="24" spans="1:21" x14ac:dyDescent="0.2">
      <c r="A24" s="46" t="s">
        <v>49</v>
      </c>
      <c r="B24" s="47" t="s">
        <v>48</v>
      </c>
      <c r="C24" s="48">
        <v>57424.648569999998</v>
      </c>
      <c r="D24" s="48">
        <v>5.0000000000000001E-4</v>
      </c>
      <c r="E24">
        <f t="shared" si="0"/>
        <v>16981.653692503878</v>
      </c>
      <c r="F24">
        <f t="shared" si="1"/>
        <v>16981.5</v>
      </c>
      <c r="G24">
        <f>+C24-(C$7+F24*C$8)</f>
        <v>5.547304999345215E-2</v>
      </c>
      <c r="K24">
        <f>+G24</f>
        <v>5.547304999345215E-2</v>
      </c>
      <c r="O24">
        <f t="shared" ca="1" si="2"/>
        <v>6.1566984923092045E-2</v>
      </c>
      <c r="Q24" s="2">
        <f t="shared" si="3"/>
        <v>42406.148569999998</v>
      </c>
    </row>
    <row r="25" spans="1:21" x14ac:dyDescent="0.2">
      <c r="A25" s="43" t="s">
        <v>51</v>
      </c>
      <c r="B25" s="44" t="s">
        <v>48</v>
      </c>
      <c r="C25" s="45">
        <v>57556.40438</v>
      </c>
      <c r="D25" s="45">
        <v>1E-4</v>
      </c>
      <c r="E25">
        <f t="shared" si="0"/>
        <v>17346.693659500739</v>
      </c>
      <c r="F25">
        <f t="shared" si="1"/>
        <v>17346.5</v>
      </c>
      <c r="G25">
        <f>+C25-(C$7+F25*C$8)</f>
        <v>6.9898549998470116E-2</v>
      </c>
      <c r="K25">
        <f>+G25</f>
        <v>6.9898549998470116E-2</v>
      </c>
      <c r="O25">
        <f t="shared" ca="1" si="2"/>
        <v>6.0860543492771972E-2</v>
      </c>
      <c r="Q25" s="2">
        <f t="shared" si="3"/>
        <v>42537.90438</v>
      </c>
    </row>
    <row r="26" spans="1:21" x14ac:dyDescent="0.2">
      <c r="A26" s="5" t="s">
        <v>53</v>
      </c>
      <c r="C26" s="8">
        <v>58923.789799999999</v>
      </c>
      <c r="D26" s="8">
        <v>4.0000000000000002E-4</v>
      </c>
      <c r="E26">
        <f t="shared" si="0"/>
        <v>21135.143888669234</v>
      </c>
      <c r="F26">
        <f t="shared" si="1"/>
        <v>21135</v>
      </c>
      <c r="G26">
        <f>+C26-(C$7+F26*C$8)</f>
        <v>5.1934499992057681E-2</v>
      </c>
      <c r="K26">
        <f>+G26</f>
        <v>5.1934499992057681E-2</v>
      </c>
      <c r="O26">
        <f t="shared" ca="1" si="2"/>
        <v>5.3528068537244282E-2</v>
      </c>
      <c r="Q26" s="2">
        <f t="shared" si="3"/>
        <v>43905.289799999999</v>
      </c>
    </row>
    <row r="27" spans="1:21" x14ac:dyDescent="0.2">
      <c r="A27" s="5" t="s">
        <v>53</v>
      </c>
      <c r="C27" s="52">
        <v>58980.819300000003</v>
      </c>
      <c r="D27" s="53">
        <v>2.9999999999999997E-4</v>
      </c>
      <c r="E27">
        <f t="shared" si="0"/>
        <v>21293.148661269763</v>
      </c>
      <c r="F27">
        <f t="shared" si="1"/>
        <v>21293</v>
      </c>
      <c r="G27">
        <f>+C27-(C$7+F27*C$8)</f>
        <v>5.365709999750834E-2</v>
      </c>
      <c r="K27">
        <f>+G27</f>
        <v>5.365709999750834E-2</v>
      </c>
      <c r="O27">
        <f t="shared" ca="1" si="2"/>
        <v>5.3222266493434499E-2</v>
      </c>
      <c r="Q27" s="2">
        <f t="shared" si="3"/>
        <v>43962.319300000003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940"/>
  <sheetViews>
    <sheetView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40</v>
      </c>
      <c r="G1" s="30" t="s">
        <v>41</v>
      </c>
      <c r="H1" s="38"/>
      <c r="I1" s="39" t="s">
        <v>42</v>
      </c>
      <c r="J1" s="40" t="s">
        <v>40</v>
      </c>
      <c r="K1" s="41">
        <v>16.152000000000001</v>
      </c>
      <c r="L1" s="32">
        <v>35.422620000000002</v>
      </c>
      <c r="M1" s="33">
        <v>51295.370300000002</v>
      </c>
      <c r="N1" s="33">
        <v>0.18046499999999999</v>
      </c>
      <c r="O1" s="31" t="s">
        <v>43</v>
      </c>
      <c r="P1" s="32">
        <v>11.08</v>
      </c>
      <c r="Q1" s="32">
        <v>11.35</v>
      </c>
      <c r="R1" s="42" t="s">
        <v>44</v>
      </c>
      <c r="S1" s="31" t="s">
        <v>45</v>
      </c>
    </row>
    <row r="2" spans="1:19" x14ac:dyDescent="0.2">
      <c r="A2" t="s">
        <v>23</v>
      </c>
      <c r="B2" t="s">
        <v>43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51295.370300000002</v>
      </c>
      <c r="D4" s="27">
        <v>0.18046499999999999</v>
      </c>
    </row>
    <row r="5" spans="1:19" ht="13.5" thickTop="1" x14ac:dyDescent="0.2">
      <c r="A5" s="9" t="s">
        <v>28</v>
      </c>
      <c r="B5" s="10"/>
      <c r="C5" s="11">
        <v>8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51295.370300000002</v>
      </c>
      <c r="D7" s="28" t="s">
        <v>47</v>
      </c>
    </row>
    <row r="8" spans="1:19" x14ac:dyDescent="0.2">
      <c r="A8" t="s">
        <v>3</v>
      </c>
      <c r="C8" s="8">
        <f>N1</f>
        <v>0.18046499999999999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-2.0699909837225416E-6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-1.0313651244383219E-6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58923.76271609484</v>
      </c>
      <c r="E15" s="14" t="s">
        <v>33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0.18046396863487554</v>
      </c>
      <c r="E16" s="14" t="s">
        <v>30</v>
      </c>
      <c r="F16" s="35">
        <f ca="1">NOW()+15018.5+$C$5/24</f>
        <v>60310.506789120373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34</v>
      </c>
      <c r="F17" s="15">
        <f ca="1">ROUND(2*(F16-$C$7)/$C$8,0)/2+F15</f>
        <v>49956</v>
      </c>
    </row>
    <row r="18" spans="1:21" ht="14.25" thickTop="1" thickBot="1" x14ac:dyDescent="0.25">
      <c r="A18" s="16" t="s">
        <v>5</v>
      </c>
      <c r="B18" s="10"/>
      <c r="C18" s="19">
        <f ca="1">+C15</f>
        <v>58923.76271609484</v>
      </c>
      <c r="D18" s="20">
        <f ca="1">+C16</f>
        <v>0.18046396863487554</v>
      </c>
      <c r="E18" s="14" t="s">
        <v>35</v>
      </c>
      <c r="F18" s="23">
        <f ca="1">ROUND(2*(F16-$C$15)/$C$16,0)/2+F15</f>
        <v>7685.5</v>
      </c>
    </row>
    <row r="19" spans="1:21" ht="13.5" thickTop="1" x14ac:dyDescent="0.2">
      <c r="E19" s="14" t="s">
        <v>31</v>
      </c>
      <c r="F19" s="18">
        <f ca="1">+$C$15+$C$16*F18-15018.5-$C$5/24</f>
        <v>45291.885213704838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52</v>
      </c>
    </row>
    <row r="21" spans="1:21" x14ac:dyDescent="0.2">
      <c r="A21" t="s">
        <v>47</v>
      </c>
      <c r="C21" s="8">
        <v>51295.370300000002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I21">
        <f>+G21</f>
        <v>0</v>
      </c>
      <c r="O21">
        <f t="shared" ref="O21:O26" ca="1" si="2">+C$11+C$12*$F21</f>
        <v>-2.0699909837225416E-6</v>
      </c>
      <c r="Q21" s="2">
        <f t="shared" ref="Q21:Q26" si="3">+C21-15018.5</f>
        <v>36276.870300000002</v>
      </c>
    </row>
    <row r="22" spans="1:21" x14ac:dyDescent="0.2">
      <c r="A22" t="s">
        <v>54</v>
      </c>
      <c r="C22" s="8">
        <v>53830.807999999997</v>
      </c>
      <c r="D22" s="8"/>
      <c r="E22">
        <f t="shared" si="0"/>
        <v>14049.470534452637</v>
      </c>
      <c r="F22">
        <f t="shared" si="1"/>
        <v>14049.5</v>
      </c>
      <c r="K22">
        <f>+U22</f>
        <v>0</v>
      </c>
      <c r="O22">
        <f t="shared" ca="1" si="2"/>
        <v>-1.4492234306779926E-2</v>
      </c>
      <c r="Q22" s="2">
        <f t="shared" si="3"/>
        <v>38812.307999999997</v>
      </c>
    </row>
    <row r="23" spans="1:21" x14ac:dyDescent="0.2">
      <c r="A23" s="46" t="s">
        <v>49</v>
      </c>
      <c r="B23" s="47" t="s">
        <v>50</v>
      </c>
      <c r="C23" s="48">
        <v>57132.477319999998</v>
      </c>
      <c r="D23" s="48">
        <v>2.9999999999999997E-4</v>
      </c>
      <c r="E23">
        <f t="shared" si="0"/>
        <v>32344.814894854939</v>
      </c>
      <c r="F23">
        <f t="shared" si="1"/>
        <v>32345</v>
      </c>
      <c r="G23">
        <f>+C23-(C$7+F23*C$8)</f>
        <v>-3.3405000001948792E-2</v>
      </c>
      <c r="K23">
        <f>+G23</f>
        <v>-3.3405000001948792E-2</v>
      </c>
      <c r="O23">
        <f t="shared" ca="1" si="2"/>
        <v>-3.3361574940941247E-2</v>
      </c>
      <c r="Q23" s="2">
        <f t="shared" si="3"/>
        <v>42113.977319999998</v>
      </c>
    </row>
    <row r="24" spans="1:21" x14ac:dyDescent="0.2">
      <c r="A24" s="46" t="s">
        <v>49</v>
      </c>
      <c r="B24" s="47" t="s">
        <v>48</v>
      </c>
      <c r="C24" s="48">
        <v>57424.648569999998</v>
      </c>
      <c r="D24" s="48">
        <v>5.0000000000000001E-4</v>
      </c>
      <c r="E24">
        <f t="shared" si="0"/>
        <v>33963.806111988451</v>
      </c>
      <c r="F24">
        <f t="shared" si="1"/>
        <v>33964</v>
      </c>
      <c r="G24">
        <f>+C24-(C$7+F24*C$8)</f>
        <v>-3.499000000738306E-2</v>
      </c>
      <c r="K24">
        <f>+G24</f>
        <v>-3.499000000738306E-2</v>
      </c>
      <c r="O24">
        <f t="shared" ca="1" si="2"/>
        <v>-3.5031355077406887E-2</v>
      </c>
      <c r="Q24" s="2">
        <f t="shared" si="3"/>
        <v>42406.148569999998</v>
      </c>
    </row>
    <row r="25" spans="1:21" x14ac:dyDescent="0.2">
      <c r="A25" s="43" t="s">
        <v>51</v>
      </c>
      <c r="B25" s="44" t="s">
        <v>48</v>
      </c>
      <c r="C25" s="45">
        <v>57556.40438</v>
      </c>
      <c r="D25" s="45">
        <v>1E-4</v>
      </c>
      <c r="E25">
        <f t="shared" si="0"/>
        <v>34693.896766686048</v>
      </c>
      <c r="F25">
        <f t="shared" si="1"/>
        <v>34694</v>
      </c>
      <c r="K25">
        <f>+U25</f>
        <v>-1.862999999866588E-2</v>
      </c>
      <c r="O25">
        <f t="shared" ca="1" si="2"/>
        <v>-3.578425161824686E-2</v>
      </c>
      <c r="Q25" s="2">
        <f t="shared" si="3"/>
        <v>42537.90438</v>
      </c>
      <c r="U25">
        <f>+C25-(C$7+F25*C$8)</f>
        <v>-1.862999999866588E-2</v>
      </c>
    </row>
    <row r="26" spans="1:21" x14ac:dyDescent="0.2">
      <c r="A26" s="5" t="s">
        <v>53</v>
      </c>
      <c r="C26" s="8">
        <v>58923.789799999999</v>
      </c>
      <c r="D26" s="8">
        <v>4.0000000000000002E-4</v>
      </c>
      <c r="E26">
        <f t="shared" si="0"/>
        <v>42270.908486410088</v>
      </c>
      <c r="F26">
        <f t="shared" si="1"/>
        <v>42271</v>
      </c>
      <c r="K26">
        <f>+U26</f>
        <v>-1.6515000002982561E-2</v>
      </c>
      <c r="O26">
        <f t="shared" ca="1" si="2"/>
        <v>-4.3598905166116031E-2</v>
      </c>
      <c r="Q26" s="2">
        <f t="shared" si="3"/>
        <v>43905.289799999999</v>
      </c>
      <c r="U26">
        <f>+C26-(C$7+F26*C$8)</f>
        <v>-1.6515000002982561E-2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940"/>
  <sheetViews>
    <sheetView workbookViewId="0">
      <selection activeCell="C2" sqref="C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40</v>
      </c>
      <c r="G1" s="30" t="s">
        <v>41</v>
      </c>
      <c r="H1" s="38"/>
      <c r="I1" s="39" t="s">
        <v>42</v>
      </c>
      <c r="J1" s="40" t="s">
        <v>40</v>
      </c>
      <c r="K1" s="41">
        <v>16.152000000000001</v>
      </c>
      <c r="L1" s="32">
        <v>35.422620000000002</v>
      </c>
      <c r="M1" s="33">
        <v>51295.370300000002</v>
      </c>
      <c r="N1" s="33">
        <v>0.18046499999999999</v>
      </c>
      <c r="O1" s="31" t="s">
        <v>43</v>
      </c>
      <c r="P1" s="32">
        <v>11.08</v>
      </c>
      <c r="Q1" s="32">
        <v>11.35</v>
      </c>
      <c r="R1" s="42" t="s">
        <v>44</v>
      </c>
      <c r="S1" s="31" t="s">
        <v>45</v>
      </c>
    </row>
    <row r="2" spans="1:19" x14ac:dyDescent="0.2">
      <c r="A2" t="s">
        <v>23</v>
      </c>
      <c r="B2" t="s">
        <v>43</v>
      </c>
      <c r="C2" s="51" t="s">
        <v>55</v>
      </c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51295.370300000002</v>
      </c>
      <c r="D4" s="27">
        <v>0.18046499999999999</v>
      </c>
    </row>
    <row r="5" spans="1:19" ht="13.5" thickTop="1" x14ac:dyDescent="0.2">
      <c r="A5" s="9" t="s">
        <v>28</v>
      </c>
      <c r="B5" s="10"/>
      <c r="C5" s="11">
        <v>8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51295.370300000002</v>
      </c>
      <c r="D7" s="28" t="s">
        <v>47</v>
      </c>
    </row>
    <row r="8" spans="1:19" x14ac:dyDescent="0.2">
      <c r="A8" t="s">
        <v>3</v>
      </c>
      <c r="C8" s="8">
        <v>0.16009499999999999</v>
      </c>
      <c r="D8" s="28" t="str">
        <f>D7</f>
        <v>GCVS</v>
      </c>
      <c r="E8">
        <f>C8/2</f>
        <v>8.0047499999999994E-2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7.9898883660344644E-2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-3.1299342548469214E-6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58923.82780751642</v>
      </c>
      <c r="E15" s="14" t="s">
        <v>33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0.16009187006574513</v>
      </c>
      <c r="E16" s="14" t="s">
        <v>30</v>
      </c>
      <c r="F16" s="35">
        <f ca="1">NOW()+15018.5+$C$5/24</f>
        <v>60310.506789120373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34</v>
      </c>
      <c r="F17" s="15">
        <f ca="1">ROUND(2*(F16-$C$7)/$C$8,0)/2+F15</f>
        <v>56312</v>
      </c>
    </row>
    <row r="18" spans="1:21" ht="14.25" thickTop="1" thickBot="1" x14ac:dyDescent="0.25">
      <c r="A18" s="16" t="s">
        <v>5</v>
      </c>
      <c r="B18" s="10"/>
      <c r="C18" s="19">
        <f ca="1">+C15</f>
        <v>58923.82780751642</v>
      </c>
      <c r="D18" s="20">
        <f ca="1">+C16</f>
        <v>0.16009187006574513</v>
      </c>
      <c r="E18" s="14" t="s">
        <v>35</v>
      </c>
      <c r="F18" s="23">
        <f ca="1">ROUND(2*(F16-$C$15)/$C$16,0)/2+F15</f>
        <v>8663</v>
      </c>
    </row>
    <row r="19" spans="1:21" ht="13.5" thickTop="1" x14ac:dyDescent="0.2">
      <c r="E19" s="14" t="s">
        <v>31</v>
      </c>
      <c r="F19" s="18">
        <f ca="1">+$C$15+$C$16*F18-15018.5-$C$5/24</f>
        <v>45291.870344562631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52</v>
      </c>
    </row>
    <row r="21" spans="1:21" x14ac:dyDescent="0.2">
      <c r="A21" t="s">
        <v>47</v>
      </c>
      <c r="C21" s="8">
        <v>51295.370300000002</v>
      </c>
      <c r="D21" s="8" t="s">
        <v>13</v>
      </c>
      <c r="E21">
        <f>+(C21-C$7)/C$8</f>
        <v>0</v>
      </c>
      <c r="F21">
        <f>ROUND(2*E21,0)/2-0.5</f>
        <v>-0.5</v>
      </c>
      <c r="G21">
        <f>+C21-(C$7+F21*C$8)</f>
        <v>8.0047499999636784E-2</v>
      </c>
      <c r="I21">
        <f>+G21</f>
        <v>8.0047499999636784E-2</v>
      </c>
      <c r="O21">
        <f ca="1">+C$11+C$12*$F21</f>
        <v>7.9900448627472073E-2</v>
      </c>
      <c r="Q21" s="2">
        <f>+C21-15018.5</f>
        <v>36276.870300000002</v>
      </c>
    </row>
    <row r="22" spans="1:21" x14ac:dyDescent="0.2">
      <c r="A22" s="43" t="s">
        <v>51</v>
      </c>
      <c r="B22" s="44" t="s">
        <v>48</v>
      </c>
      <c r="C22" s="45">
        <v>57556.40438</v>
      </c>
      <c r="D22" s="45">
        <v>1E-4</v>
      </c>
      <c r="E22">
        <f>+(C22-C$7)/C$8</f>
        <v>39108.242481026879</v>
      </c>
      <c r="F22" s="49">
        <f>ROUND(2*E22,0)/2+0.5</f>
        <v>39108.5</v>
      </c>
      <c r="G22">
        <f>+C22-(C$7+F22*C$8)</f>
        <v>-4.122750000533415E-2</v>
      </c>
      <c r="K22">
        <f>+G22</f>
        <v>-4.122750000533415E-2</v>
      </c>
      <c r="O22">
        <f ca="1">+C$11+C$12*$F22</f>
        <v>-4.2508150145336182E-2</v>
      </c>
      <c r="Q22" s="2">
        <f>+C22-15018.5</f>
        <v>42537.90438</v>
      </c>
    </row>
    <row r="23" spans="1:21" x14ac:dyDescent="0.2">
      <c r="A23" s="46" t="s">
        <v>49</v>
      </c>
      <c r="B23" s="47" t="s">
        <v>50</v>
      </c>
      <c r="C23" s="48">
        <v>57132.477319999998</v>
      </c>
      <c r="D23" s="48">
        <v>2.9999999999999997E-4</v>
      </c>
      <c r="E23">
        <f>+(C23-C$7)/C$8</f>
        <v>36460.270589337561</v>
      </c>
      <c r="F23">
        <f>ROUND(2*E23,0)/2</f>
        <v>36460.5</v>
      </c>
      <c r="G23">
        <f>+C23-(C$7+F23*C$8)</f>
        <v>-3.672750000259839E-2</v>
      </c>
      <c r="K23">
        <f>+G23</f>
        <v>-3.672750000259839E-2</v>
      </c>
      <c r="O23">
        <f ca="1">+C$11+C$12*$F23</f>
        <v>-3.4220084238501536E-2</v>
      </c>
      <c r="Q23" s="2">
        <f>+C23-15018.5</f>
        <v>42113.977319999998</v>
      </c>
    </row>
    <row r="24" spans="1:21" x14ac:dyDescent="0.2">
      <c r="A24" s="46" t="s">
        <v>49</v>
      </c>
      <c r="B24" s="47" t="s">
        <v>48</v>
      </c>
      <c r="C24" s="48">
        <v>57424.648569999998</v>
      </c>
      <c r="D24" s="48">
        <v>5.0000000000000001E-4</v>
      </c>
      <c r="E24">
        <f>+(C24-C$7)/C$8</f>
        <v>38285.257315968614</v>
      </c>
      <c r="F24">
        <f>ROUND(2*E24,0)/2</f>
        <v>38285.5</v>
      </c>
      <c r="G24">
        <f>+C24-(C$7+F24*C$8)</f>
        <v>-3.8852500001667067E-2</v>
      </c>
      <c r="K24">
        <f>+G24</f>
        <v>-3.8852500001667067E-2</v>
      </c>
      <c r="O24">
        <f ca="1">+C$11+C$12*$F24</f>
        <v>-3.9932214253597165E-2</v>
      </c>
      <c r="Q24" s="2">
        <f>+C24-15018.5</f>
        <v>42406.148569999998</v>
      </c>
    </row>
    <row r="25" spans="1:21" x14ac:dyDescent="0.2">
      <c r="A25" s="5" t="s">
        <v>53</v>
      </c>
      <c r="C25" s="8">
        <v>58923.789799999999</v>
      </c>
      <c r="D25" s="8">
        <v>4.0000000000000002E-4</v>
      </c>
      <c r="E25">
        <f>+(C25-C$7)/C$8</f>
        <v>47649.330085261856</v>
      </c>
      <c r="F25" s="50">
        <f>ROUND(2*E25,0)/2+0.5</f>
        <v>47650</v>
      </c>
      <c r="O25">
        <f ca="1">+C$11+C$12*$F25</f>
        <v>-6.9242483583111164E-2</v>
      </c>
      <c r="Q25" s="2">
        <f>+C25-15018.5</f>
        <v>43905.289799999999</v>
      </c>
      <c r="U25">
        <f>+C25-(C$7+F25*C$8)</f>
        <v>-0.10725000000093132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Graphs</vt:lpstr>
      <vt:lpstr>A (2)</vt:lpstr>
      <vt:lpstr>A (old)</vt:lpstr>
      <vt:lpstr>A (old)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2023-12-31T05:39:46Z</dcterms:modified>
</cp:coreProperties>
</file>