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8483CA8-CEFE-4DD0-8DF7-0F9C3F6F1A4A}" xr6:coauthVersionLast="47" xr6:coauthVersionMax="47" xr10:uidLastSave="{00000000-0000-0000-0000-000000000000}"/>
  <bookViews>
    <workbookView xWindow="13440" yWindow="51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G24" i="1" s="1"/>
  <c r="H24" i="1" s="1"/>
  <c r="Q24" i="1"/>
  <c r="Q23" i="1"/>
  <c r="F11" i="1"/>
  <c r="Q22" i="1"/>
  <c r="G11" i="1"/>
  <c r="E14" i="1"/>
  <c r="E15" i="1" s="1"/>
  <c r="C21" i="1"/>
  <c r="C17" i="1"/>
  <c r="A21" i="1"/>
  <c r="C7" i="1"/>
  <c r="C8" i="1"/>
  <c r="E23" i="1"/>
  <c r="F23" i="1"/>
  <c r="G23" i="1"/>
  <c r="H23" i="1"/>
  <c r="E21" i="1"/>
  <c r="F21" i="1"/>
  <c r="Q21" i="1"/>
  <c r="E22" i="1"/>
  <c r="F22" i="1"/>
  <c r="G22" i="1"/>
  <c r="H22" i="1"/>
  <c r="G21" i="1"/>
  <c r="H21" i="1"/>
  <c r="C11" i="1"/>
  <c r="C12" i="1" l="1"/>
  <c r="O24" i="1" l="1"/>
  <c r="C16" i="1"/>
  <c r="D18" i="1" s="1"/>
  <c r="O21" i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<sst xmlns="http://schemas.openxmlformats.org/spreadsheetml/2006/main" count="57" uniqueCount="50">
  <si>
    <t>OEJV 0191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</si>
  <si>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</si>
  <si>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</si>
  <si>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</si>
  <si>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</si>
  <si>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</si>
  <si>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</si>
  <si>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</si>
  <si>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</si>
  <si>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</si>
  <si>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</si>
  <si>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</si>
  <si>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</si>
  <si>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</si>
  <si>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</si>
  <si>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</si>
  <si>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</si>
  <si>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</si>
  <si>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</si>
  <si>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</si>
  <si>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</si>
  <si>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</si>
  <si>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</si>
  <si>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</si>
  <si>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</si>
  <si>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</si>
  <si>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</si>
  <si>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</si>
  <si>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</si>
  <si>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</si>
  <si>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</si>
  <si>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</si>
  <si>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</si>
  <si>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</si>
  <si>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</si>
  <si>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</si>
  <si>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</si>
  <si>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</si>
  <si>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</si>
  <si>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VV Crt / GSC 6085-0615</t>
  </si>
  <si>
    <t>Crt_VV.xls</t>
  </si>
  <si>
    <t>EA/RS:</t>
  </si>
  <si>
    <t>IBVS 5480 Eph.</t>
  </si>
  <si>
    <t>IBVS 5480</t>
  </si>
  <si>
    <t>Crt</t>
  </si>
  <si>
    <t>Add cycle</t>
  </si>
  <si>
    <t>Old Cycle</t>
  </si>
  <si>
    <t>IBVS 6007</t>
  </si>
  <si>
    <t>I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</si>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</sst>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4" borderId="5" xfId="0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0" xfId="41" applyFont="1" applyAlignment="1">
      <alignment horizontal="left"/>
    </xf>
    <xf numFmtId="0" fontId="29" fillId="0" borderId="0" xfId="41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72" fontId="31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Crt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-8.6450000017066486E-3</c:v>
                </c:pt>
                <c:pt idx="2">
                  <c:v>-1.5767000004416332E-2</c:v>
                </c:pt>
                <c:pt idx="3">
                  <c:v>-1.6730999821447767E-2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CC-4417-9870-4341FC8217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CC-4417-9870-4341FC8217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CC-4417-9870-4341FC8217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CC-4417-9870-4341FC8217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CC-4417-9870-4341FC8217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CC-4417-9870-4341FC8217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CC-4417-9870-4341FC8217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1.9665463276747827E-4</c:v>
                </c:pt>
                <c:pt idx="1">
                  <c:v>-9.3775909355130662E-3</c:v>
                </c:pt>
                <c:pt idx="2">
                  <c:v>-1.4798658911650168E-2</c:v>
                </c:pt>
                <c:pt idx="3">
                  <c:v>-1.7163404613174994E-2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CC-4417-9870-4341FC82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954952"/>
        <c:axId val="1"/>
      </c:scatterChart>
      <c:valAx>
        <c:axId val="615954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954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19CC13-FD77-7677-6AF4-AA75FEE4E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39</v>
      </c>
      <c r="E1" s="30"/>
      <c r="F1" s="30" t="s">
        <v>40</v>
      </c>
      <c r="G1" s="31" t="s">
        <v>41</v>
      </c>
      <c r="H1" s="30" t="s">
        <v>42</v>
      </c>
      <c r="I1" s="32">
        <v>48624.332000000002</v>
      </c>
      <c r="J1" s="32">
        <v>2.2955990000000002</v>
      </c>
      <c r="K1" s="30" t="s">
        <v>43</v>
      </c>
      <c r="L1" s="30" t="s">
        <v>44</v>
      </c>
    </row>
    <row r="2" spans="1:12" x14ac:dyDescent="0.2">
      <c r="A2" t="s">
        <v>24</v>
      </c>
      <c r="B2" t="s">
        <v>41</v>
      </c>
      <c r="D2" s="9" t="s">
        <v>44</v>
      </c>
      <c r="E2" t="s">
        <v>40</v>
      </c>
    </row>
    <row r="3" spans="1:12" ht="13.5" thickBot="1" x14ac:dyDescent="0.25"/>
    <row r="4" spans="1:12" ht="14.25" thickTop="1" thickBot="1" x14ac:dyDescent="0.25">
      <c r="A4" s="29" t="s">
        <v>42</v>
      </c>
      <c r="C4" s="7">
        <v>48624.332000000002</v>
      </c>
      <c r="D4" s="8">
        <v>2.2955990000000002</v>
      </c>
    </row>
    <row r="6" spans="1:12" x14ac:dyDescent="0.2">
      <c r="A6" s="4" t="s">
        <v>1</v>
      </c>
    </row>
    <row r="7" spans="1:12" x14ac:dyDescent="0.2">
      <c r="A7" t="s">
        <v>2</v>
      </c>
      <c r="C7">
        <f>+C4</f>
        <v>48624.332000000002</v>
      </c>
    </row>
    <row r="8" spans="1:12" x14ac:dyDescent="0.2">
      <c r="A8" t="s">
        <v>3</v>
      </c>
      <c r="C8">
        <f>+D4</f>
        <v>2.2955990000000002</v>
      </c>
    </row>
    <row r="9" spans="1:12" x14ac:dyDescent="0.2">
      <c r="A9" s="10" t="s">
        <v>31</v>
      </c>
      <c r="B9" s="11"/>
      <c r="C9" s="12">
        <v>-9.5</v>
      </c>
      <c r="D9" s="11" t="s">
        <v>32</v>
      </c>
      <c r="E9" s="11"/>
    </row>
    <row r="10" spans="1:12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12" x14ac:dyDescent="0.2">
      <c r="A11" s="11" t="s">
        <v>15</v>
      </c>
      <c r="B11" s="11"/>
      <c r="C11" s="24">
        <f ca="1">INTERCEPT(INDIRECT($G$11):G992,INDIRECT($F$11):F992)</f>
        <v>1.9665463276747827E-4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16</v>
      </c>
      <c r="B12" s="11"/>
      <c r="C12" s="24">
        <f ca="1">SLOPE(INDIRECT($G$11):G992,INDIRECT($F$11):F992)</f>
        <v>-3.7181536187497261E-6</v>
      </c>
      <c r="D12" s="13"/>
      <c r="E12" s="11"/>
    </row>
    <row r="13" spans="1:12" x14ac:dyDescent="0.2">
      <c r="A13" s="11" t="s">
        <v>19</v>
      </c>
      <c r="B13" s="11"/>
      <c r="C13" s="13" t="s">
        <v>13</v>
      </c>
      <c r="D13" s="16" t="s">
        <v>45</v>
      </c>
      <c r="E13" s="12">
        <v>1</v>
      </c>
    </row>
    <row r="14" spans="1:12" x14ac:dyDescent="0.2">
      <c r="A14" s="11"/>
      <c r="B14" s="11"/>
      <c r="C14" s="11"/>
      <c r="D14" s="16" t="s">
        <v>33</v>
      </c>
      <c r="E14" s="17">
        <f ca="1">NOW()+15018.5+$C$9/24</f>
        <v>59956.627825578704</v>
      </c>
    </row>
    <row r="15" spans="1:12" x14ac:dyDescent="0.2">
      <c r="A15" s="14" t="s">
        <v>17</v>
      </c>
      <c r="B15" s="11"/>
      <c r="C15" s="15">
        <f ca="1">(C7+C11)+(C8+C12)*INT(MAX(F21:F3533))</f>
        <v>59342.466567595387</v>
      </c>
      <c r="D15" s="16" t="s">
        <v>46</v>
      </c>
      <c r="E15" s="17">
        <f ca="1">ROUND(2*(E14-$C$7)/$C$8,0)/2+E13</f>
        <v>4937.5</v>
      </c>
    </row>
    <row r="16" spans="1:12" x14ac:dyDescent="0.2">
      <c r="A16" s="18" t="s">
        <v>4</v>
      </c>
      <c r="B16" s="11"/>
      <c r="C16" s="19">
        <f ca="1">+C8+C12</f>
        <v>2.2955952818463814</v>
      </c>
      <c r="D16" s="16" t="s">
        <v>34</v>
      </c>
      <c r="E16" s="26">
        <f ca="1">ROUND(2*(E14-$C$15)/$C$16,0)/2+E13</f>
        <v>268.5</v>
      </c>
    </row>
    <row r="17" spans="1:17" ht="13.5" thickBot="1" x14ac:dyDescent="0.25">
      <c r="A17" s="16" t="s">
        <v>30</v>
      </c>
      <c r="B17" s="11"/>
      <c r="C17" s="11">
        <f>COUNT(C21:C2191)</f>
        <v>4</v>
      </c>
      <c r="D17" s="16" t="s">
        <v>35</v>
      </c>
      <c r="E17" s="20">
        <f ca="1">+$C$15+$C$16*E16-15018.5-$C$9/24</f>
        <v>44940.729734104476</v>
      </c>
    </row>
    <row r="18" spans="1:17" ht="14.25" thickTop="1" thickBot="1" x14ac:dyDescent="0.25">
      <c r="A18" s="18" t="s">
        <v>5</v>
      </c>
      <c r="B18" s="11"/>
      <c r="C18" s="21">
        <f ca="1">+C15</f>
        <v>59342.466567595387</v>
      </c>
      <c r="D18" s="22">
        <f ca="1">+C16</f>
        <v>2.2955952818463814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38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</row>
    <row r="21" spans="1:17" x14ac:dyDescent="0.2">
      <c r="A21" t="str">
        <f>$K$1</f>
        <v>IBVS 5480</v>
      </c>
      <c r="C21" s="9">
        <f>+$C$4</f>
        <v>48624.332000000002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1.9665463276747827E-4</v>
      </c>
      <c r="Q21" s="2">
        <f>+C21-15018.5</f>
        <v>33605.832000000002</v>
      </c>
    </row>
    <row r="22" spans="1:17" x14ac:dyDescent="0.2">
      <c r="A22" s="33" t="s">
        <v>47</v>
      </c>
      <c r="B22" s="34" t="s">
        <v>48</v>
      </c>
      <c r="C22" s="33">
        <v>54535.49078</v>
      </c>
      <c r="D22" s="33">
        <v>1.2E-4</v>
      </c>
      <c r="E22">
        <f>+(C22-C$7)/C$8</f>
        <v>2574.9962340983757</v>
      </c>
      <c r="F22">
        <f>ROUND(2*E22,0)/2</f>
        <v>2575</v>
      </c>
      <c r="G22">
        <f>+C22-(C$7+F22*C$8)</f>
        <v>-8.6450000017066486E-3</v>
      </c>
      <c r="H22">
        <f>+G22</f>
        <v>-8.6450000017066486E-3</v>
      </c>
      <c r="O22">
        <f ca="1">+C$11+C$12*$F22</f>
        <v>-9.3775909355130662E-3</v>
      </c>
      <c r="Q22" s="2">
        <f>+C22-15018.5</f>
        <v>39516.99078</v>
      </c>
    </row>
    <row r="23" spans="1:17" x14ac:dyDescent="0.2">
      <c r="A23" s="35" t="s">
        <v>0</v>
      </c>
      <c r="B23" s="35" t="s">
        <v>48</v>
      </c>
      <c r="C23" s="36">
        <v>57882.466999999997</v>
      </c>
      <c r="D23" s="36">
        <v>1.4999999999999999E-2</v>
      </c>
      <c r="E23">
        <f>+(C23-C$7)/C$8</f>
        <v>4032.9931316401489</v>
      </c>
      <c r="F23">
        <f>ROUND(2*E23,0)/2</f>
        <v>4033</v>
      </c>
      <c r="G23">
        <f>+C23-(C$7+F23*C$8)</f>
        <v>-1.5767000004416332E-2</v>
      </c>
      <c r="H23">
        <f>+G23</f>
        <v>-1.5767000004416332E-2</v>
      </c>
      <c r="O23">
        <f ca="1">+C$11+C$12*$F23</f>
        <v>-1.4798658911650168E-2</v>
      </c>
      <c r="Q23" s="2">
        <f>+C23-15018.5</f>
        <v>42863.966999999997</v>
      </c>
    </row>
    <row r="24" spans="1:17" x14ac:dyDescent="0.2">
      <c r="A24" s="37" t="s">
        <v>49</v>
      </c>
      <c r="B24" s="38" t="s">
        <v>48</v>
      </c>
      <c r="C24" s="39">
        <v>59342.467000000179</v>
      </c>
      <c r="D24" s="37">
        <v>5.0000000000000001E-3</v>
      </c>
      <c r="E24">
        <f>+(C24-C$7)/C$8</f>
        <v>4668.9927117062589</v>
      </c>
      <c r="F24">
        <f>ROUND(2*E24,0)/2</f>
        <v>4669</v>
      </c>
      <c r="G24">
        <f>+C24-(C$7+F24*C$8)</f>
        <v>-1.6730999821447767E-2</v>
      </c>
      <c r="H24">
        <f>+G24</f>
        <v>-1.6730999821447767E-2</v>
      </c>
      <c r="O24">
        <f ca="1">+C$11+C$12*$F24</f>
        <v>-1.7163404613174994E-2</v>
      </c>
      <c r="Q24" s="2">
        <f>+C24-15018.5</f>
        <v>44323.967000000179</v>
      </c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hyperlinks>
    <hyperlink ref="H64779" r:id="rId1" display="http://vsolj.cetus-net.org/bulletin.html"/>
    <hyperlink ref="H64772" r:id="rId2" display="https://www.aavso.org/ejaavso"/>
    <hyperlink ref="AP923" r:id="rId3" display="http://cdsbib.u-strasbg.fr/cgi-bin/cdsbib?1990RMxAA..21..381G"/>
    <hyperlink ref="AP927" r:id="rId4" display="http://cdsbib.u-strasbg.fr/cgi-bin/cdsbib?1990RMxAA..21..381G"/>
    <hyperlink ref="AP926" r:id="rId5" display="http://cdsbib.u-strasbg.fr/cgi-bin/cdsbib?1990RMxAA..21..381G"/>
    <hyperlink ref="AP907" r:id="rId6" display="http://cdsbib.u-strasbg.fr/cgi-bin/cdsbib?1990RMxAA..21..381G"/>
    <hyperlink ref="I64779" r:id="rId7" display="http://vsolj.cetus-net.org/bulletin.html"/>
    <hyperlink ref="AQ1063" r:id="rId8" display="http://cdsbib.u-strasbg.fr/cgi-bin/cdsbib?1990RMxAA..21..381G"/>
    <hyperlink ref="AQ55829" r:id="rId9" display="http://cdsbib.u-strasbg.fr/cgi-bin/cdsbib?1990RMxAA..21..381G"/>
    <hyperlink ref="AQ1064" r:id="rId10" display="http://cdsbib.u-strasbg.fr/cgi-bin/cdsbib?1990RMxAA..21..381G"/>
    <hyperlink ref="H64776" r:id="rId11" display="https://www.aavso.org/ejaavso"/>
    <hyperlink ref="H1949" r:id="rId12" display="http://vsolj.cetus-net.org/bulletin.html"/>
    <hyperlink ref="AP3193" r:id="rId13" display="http://cdsbib.u-strasbg.fr/cgi-bin/cdsbib?1990RMxAA..21..381G"/>
    <hyperlink ref="AP3196" r:id="rId14" display="http://cdsbib.u-strasbg.fr/cgi-bin/cdsbib?1990RMxAA..21..381G"/>
    <hyperlink ref="AP3194" r:id="rId15" display="http://cdsbib.u-strasbg.fr/cgi-bin/cdsbib?1990RMxAA..21..381G"/>
    <hyperlink ref="AP3178" r:id="rId16" display="http://cdsbib.u-strasbg.fr/cgi-bin/cdsbib?1990RMxAA..21..381G"/>
    <hyperlink ref="I1949" r:id="rId17" display="http://vsolj.cetus-net.org/bulletin.html"/>
    <hyperlink ref="AQ3407" r:id="rId18" display="http://cdsbib.u-strasbg.fr/cgi-bin/cdsbib?1990RMxAA..21..381G"/>
    <hyperlink ref="AQ108" r:id="rId19" display="http://cdsbib.u-strasbg.fr/cgi-bin/cdsbib?1990RMxAA..21..381G"/>
    <hyperlink ref="AQ341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2023-01-12T02:04:04Z</dcterms:modified>
</cp:coreProperties>
</file>