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BF43137-6250-47AF-BC99-925E679C894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Q25" i="1"/>
  <c r="C9" i="1"/>
  <c r="Q22" i="1"/>
  <c r="Q23" i="1"/>
  <c r="Q24" i="1"/>
  <c r="C7" i="1"/>
  <c r="C8" i="1"/>
  <c r="D9" i="1"/>
  <c r="Q21" i="1"/>
  <c r="C17" i="1"/>
  <c r="E23" i="1"/>
  <c r="F23" i="1"/>
  <c r="G23" i="1" s="1"/>
  <c r="I23" i="1" s="1"/>
  <c r="E21" i="1"/>
  <c r="F21" i="1"/>
  <c r="G21" i="1"/>
  <c r="H21" i="1" s="1"/>
  <c r="E22" i="1"/>
  <c r="F22" i="1" s="1"/>
  <c r="G22" i="1" s="1"/>
  <c r="I22" i="1" s="1"/>
  <c r="E24" i="1"/>
  <c r="F24" i="1" s="1"/>
  <c r="G24" i="1" s="1"/>
  <c r="I24" i="1" s="1"/>
  <c r="E25" i="1"/>
  <c r="F25" i="1" s="1"/>
  <c r="G25" i="1" s="1"/>
  <c r="J25" i="1" s="1"/>
  <c r="C11" i="1"/>
  <c r="C12" i="1"/>
  <c r="C16" i="1" l="1"/>
  <c r="D18" i="1" s="1"/>
  <c r="O23" i="1"/>
  <c r="O24" i="1"/>
  <c r="O22" i="1"/>
  <c r="C15" i="1"/>
  <c r="O21" i="1"/>
  <c r="O25" i="1"/>
  <c r="F17" i="1"/>
  <c r="C18" i="1" l="1"/>
  <c r="F18" i="1"/>
  <c r="F19" i="1" s="1"/>
</calcChain>
</file>

<file path=xl/sharedStrings.xml><?xml version="1.0" encoding="utf-8"?>
<sst xmlns="http://schemas.openxmlformats.org/spreadsheetml/2006/main" count="53" uniqueCount="47">
  <si>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</si>
  <si>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</si>
  <si>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</si>
  <si>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</si>
  <si>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</si>
  <si>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</si>
  <si>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</si>
  <si>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</si>
  <si>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</si>
  <si>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</si>
  <si>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</si>
  <si>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</si>
  <si>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</si>
  <si>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</si>
  <si>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</si>
  <si>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</si>
  <si>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</si>
  <si>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</si>
  <si>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</si>
  <si>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</si>
  <si>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</si>
  <si>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</si>
  <si>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</si>
  <si>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</si>
  <si>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</si>
  <si>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</si>
  <si>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</si>
  <si>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</si>
  <si>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</si>
  <si>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</si>
  <si>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</si>
  <si>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</si>
  <si>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</si>
  <si>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</si>
  <si>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</si>
  <si>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</si>
  <si>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</si>
  <si>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</si>
  <si>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</si>
  <si>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>AC Cru / na</t>
  </si>
  <si>
    <t xml:space="preserve">EB/K      </t>
  </si>
  <si>
    <t>IBVS 5809</t>
  </si>
  <si>
    <t>II</t>
  </si>
  <si>
    <t>JAVSO..44…26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</si>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</sst>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22" fontId="19" fillId="0" borderId="0" xfId="0" applyNumberFormat="1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Cru - O-C Diagr.</a:t>
            </a:r>
          </a:p>
        </c:rich>
      </c:tx>
      <c:layout>
        <c:manualLayout>
          <c:xMode val="edge"/>
          <c:yMode val="edge"/>
          <c:x val="0.38646616541353385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1143</c:v>
                </c:pt>
                <c:pt idx="2">
                  <c:v>1143.5</c:v>
                </c:pt>
                <c:pt idx="3">
                  <c:v>1155.5</c:v>
                </c:pt>
                <c:pt idx="4">
                  <c:v>5139.5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D1-475F-8541-9BD8135B8B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1143</c:v>
                </c:pt>
                <c:pt idx="2">
                  <c:v>1143.5</c:v>
                </c:pt>
                <c:pt idx="3">
                  <c:v>1155.5</c:v>
                </c:pt>
                <c:pt idx="4">
                  <c:v>5139.5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">
                  <c:v>4.8854000051505864E-3</c:v>
                </c:pt>
                <c:pt idx="2">
                  <c:v>-2.1156999937375076E-3</c:v>
                </c:pt>
                <c:pt idx="3">
                  <c:v>-8.4209999477025121E-4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D1-475F-8541-9BD8135B8B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1143</c:v>
                </c:pt>
                <c:pt idx="2">
                  <c:v>1143.5</c:v>
                </c:pt>
                <c:pt idx="3">
                  <c:v>1155.5</c:v>
                </c:pt>
                <c:pt idx="4">
                  <c:v>5139.5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4">
                  <c:v>1.7931000038515776E-3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D1-475F-8541-9BD8135B8B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1143</c:v>
                </c:pt>
                <c:pt idx="2">
                  <c:v>1143.5</c:v>
                </c:pt>
                <c:pt idx="3">
                  <c:v>1155.5</c:v>
                </c:pt>
                <c:pt idx="4">
                  <c:v>5139.5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D1-475F-8541-9BD8135B8B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1143</c:v>
                </c:pt>
                <c:pt idx="2">
                  <c:v>1143.5</c:v>
                </c:pt>
                <c:pt idx="3">
                  <c:v>1155.5</c:v>
                </c:pt>
                <c:pt idx="4">
                  <c:v>5139.5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D1-475F-8541-9BD8135B8B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1143</c:v>
                </c:pt>
                <c:pt idx="2">
                  <c:v>1143.5</c:v>
                </c:pt>
                <c:pt idx="3">
                  <c:v>1155.5</c:v>
                </c:pt>
                <c:pt idx="4">
                  <c:v>5139.5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D1-475F-8541-9BD8135B8B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1143</c:v>
                </c:pt>
                <c:pt idx="2">
                  <c:v>1143.5</c:v>
                </c:pt>
                <c:pt idx="3">
                  <c:v>1155.5</c:v>
                </c:pt>
                <c:pt idx="4">
                  <c:v>5139.5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D1-475F-8541-9BD8135B8B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1143</c:v>
                </c:pt>
                <c:pt idx="2">
                  <c:v>1143.5</c:v>
                </c:pt>
                <c:pt idx="3">
                  <c:v>1155.5</c:v>
                </c:pt>
                <c:pt idx="4">
                  <c:v>5139.5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1.9292817902197507E-4</c:v>
                </c:pt>
                <c:pt idx="1">
                  <c:v>5.6001733363533149E-4</c:v>
                </c:pt>
                <c:pt idx="2">
                  <c:v>5.6017791506779576E-4</c:v>
                </c:pt>
                <c:pt idx="3">
                  <c:v>5.6403186944693859E-4</c:v>
                </c:pt>
                <c:pt idx="4">
                  <c:v>1.8435447233223646E-3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D1-475F-8541-9BD8135B8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421240"/>
        <c:axId val="1"/>
      </c:scatterChart>
      <c:valAx>
        <c:axId val="481421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421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74130865218"/>
          <c:w val="0.66766917293233086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18</xdr:col>
      <xdr:colOff>123825</xdr:colOff>
      <xdr:row>18</xdr:row>
      <xdr:rowOff>161925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3DB19B1-41E3-4AA3-81E1-2E9BAE455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2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22</v>
      </c>
      <c r="B2" t="s">
        <v>40</v>
      </c>
      <c r="C2" s="3"/>
      <c r="D2" s="3"/>
    </row>
    <row r="3" spans="1:6" ht="13.5" thickBot="1" x14ac:dyDescent="0.25">
      <c r="C3" s="28" t="s">
        <v>36</v>
      </c>
    </row>
    <row r="4" spans="1:6" ht="14.25" thickTop="1" thickBot="1" x14ac:dyDescent="0.25">
      <c r="A4" s="5" t="s">
        <v>38</v>
      </c>
      <c r="C4" s="8">
        <v>52500.771999999997</v>
      </c>
      <c r="D4" s="9">
        <v>0.90420219999999996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0</v>
      </c>
    </row>
    <row r="7" spans="1:6" x14ac:dyDescent="0.2">
      <c r="A7" t="s">
        <v>1</v>
      </c>
      <c r="C7">
        <f>C4</f>
        <v>52500.771999999997</v>
      </c>
    </row>
    <row r="8" spans="1:6" x14ac:dyDescent="0.2">
      <c r="A8" t="s">
        <v>2</v>
      </c>
      <c r="C8">
        <f>D4</f>
        <v>0.90420219999999996</v>
      </c>
      <c r="D8" s="27"/>
    </row>
    <row r="9" spans="1:6" x14ac:dyDescent="0.2">
      <c r="A9" s="24" t="s">
        <v>34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6" x14ac:dyDescent="0.2">
      <c r="A11" s="12" t="s">
        <v>14</v>
      </c>
      <c r="B11" s="12"/>
      <c r="C11" s="21">
        <f ca="1">INTERCEPT(INDIRECT($D$9):G974,INDIRECT($C$9):F974)</f>
        <v>1.9292817902197507E-4</v>
      </c>
      <c r="D11" s="3"/>
      <c r="E11" s="12"/>
    </row>
    <row r="12" spans="1:6" x14ac:dyDescent="0.2">
      <c r="A12" s="12" t="s">
        <v>15</v>
      </c>
      <c r="B12" s="12"/>
      <c r="C12" s="21">
        <f ca="1">SLOPE(INDIRECT($D$9):G974,INDIRECT($C$9):F974)</f>
        <v>3.2116286492857079E-7</v>
      </c>
      <c r="D12" s="3"/>
      <c r="E12" s="12"/>
    </row>
    <row r="13" spans="1:6" x14ac:dyDescent="0.2">
      <c r="A13" s="12" t="s">
        <v>17</v>
      </c>
      <c r="B13" s="12"/>
      <c r="C13" s="3" t="s">
        <v>12</v>
      </c>
      <c r="D13" s="3"/>
      <c r="E13" s="12"/>
    </row>
    <row r="14" spans="1:6" x14ac:dyDescent="0.2">
      <c r="A14" s="12"/>
      <c r="B14" s="12"/>
      <c r="C14" s="12"/>
      <c r="D14" s="12"/>
      <c r="E14" s="12"/>
    </row>
    <row r="15" spans="1:6" x14ac:dyDescent="0.2">
      <c r="A15" s="14" t="s">
        <v>16</v>
      </c>
      <c r="B15" s="12"/>
      <c r="C15" s="15">
        <f ca="1">(C7+C11)+(C8+C12)*INT(MAX(F21:F3515))</f>
        <v>57147.468949184142</v>
      </c>
      <c r="E15" s="36" t="s">
        <v>44</v>
      </c>
      <c r="F15" s="13">
        <v>1</v>
      </c>
    </row>
    <row r="16" spans="1:6" x14ac:dyDescent="0.2">
      <c r="A16" s="17" t="s">
        <v>3</v>
      </c>
      <c r="B16" s="12"/>
      <c r="C16" s="18">
        <f ca="1">+C8+C12</f>
        <v>0.90420252116286493</v>
      </c>
      <c r="E16" s="36" t="s">
        <v>31</v>
      </c>
      <c r="F16" s="21">
        <f ca="1">NOW()+15018.5+$C$5/24</f>
        <v>60326.531845370366</v>
      </c>
    </row>
    <row r="17" spans="1:17" ht="13.5" thickBot="1" x14ac:dyDescent="0.25">
      <c r="A17" s="16" t="s">
        <v>28</v>
      </c>
      <c r="B17" s="12"/>
      <c r="C17" s="12">
        <f>COUNT(C21:C2173)</f>
        <v>5</v>
      </c>
      <c r="E17" s="36" t="s">
        <v>45</v>
      </c>
      <c r="F17" s="21">
        <f ca="1">ROUND(2*(F16-$C$7)/$C$8,0)/2+F15</f>
        <v>8656</v>
      </c>
    </row>
    <row r="18" spans="1:17" ht="14.25" thickTop="1" thickBot="1" x14ac:dyDescent="0.25">
      <c r="A18" s="17" t="s">
        <v>4</v>
      </c>
      <c r="B18" s="12"/>
      <c r="C18" s="19">
        <f ca="1">+C15</f>
        <v>57147.468949184142</v>
      </c>
      <c r="D18" s="20">
        <f ca="1">+C16</f>
        <v>0.90420252116286493</v>
      </c>
      <c r="E18" s="36" t="s">
        <v>32</v>
      </c>
      <c r="F18" s="37">
        <f ca="1">ROUND(2*(F16-$C$15)/$C$16,0)/2+F15</f>
        <v>3517</v>
      </c>
    </row>
    <row r="19" spans="1:17" ht="13.5" thickTop="1" x14ac:dyDescent="0.2">
      <c r="E19" s="36" t="s">
        <v>33</v>
      </c>
      <c r="F19" s="38">
        <f ca="1">+$C$15+$C$16*F18-15018.5-$C$5/24</f>
        <v>45309.445049447277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27</v>
      </c>
      <c r="J20" s="7" t="s">
        <v>46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0" t="s">
        <v>37</v>
      </c>
      <c r="B21" s="29" t="s">
        <v>35</v>
      </c>
      <c r="C21" s="30">
        <v>52500.771999999997</v>
      </c>
      <c r="D21" s="26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1.9292817902197507E-4</v>
      </c>
      <c r="Q21" s="2">
        <f>+C21-15018.5</f>
        <v>37482.271999999997</v>
      </c>
    </row>
    <row r="22" spans="1:17" x14ac:dyDescent="0.2">
      <c r="A22" s="32" t="s">
        <v>41</v>
      </c>
      <c r="B22" s="31" t="s">
        <v>35</v>
      </c>
      <c r="C22" s="32">
        <v>53534.28</v>
      </c>
      <c r="D22" s="32">
        <v>4.0000000000000002E-4</v>
      </c>
      <c r="E22">
        <f>+(C22-C$7)/C$8</f>
        <v>1143.00540299504</v>
      </c>
      <c r="F22">
        <f>ROUND(2*E22,0)/2</f>
        <v>1143</v>
      </c>
      <c r="G22">
        <f>+C22-(C$7+F22*C$8)</f>
        <v>4.8854000051505864E-3</v>
      </c>
      <c r="I22">
        <f>+G22</f>
        <v>4.8854000051505864E-3</v>
      </c>
      <c r="O22">
        <f ca="1">+C$11+C$12*$F22</f>
        <v>5.6001733363533149E-4</v>
      </c>
      <c r="Q22" s="2">
        <f>+C22-15018.5</f>
        <v>38515.78</v>
      </c>
    </row>
    <row r="23" spans="1:17" x14ac:dyDescent="0.2">
      <c r="A23" s="32" t="s">
        <v>41</v>
      </c>
      <c r="B23" s="31" t="s">
        <v>42</v>
      </c>
      <c r="C23" s="32">
        <v>53534.725100000003</v>
      </c>
      <c r="D23" s="32">
        <v>4.0000000000000002E-4</v>
      </c>
      <c r="E23">
        <f>+(C23-C$7)/C$8</f>
        <v>1143.4976601472615</v>
      </c>
      <c r="F23">
        <f>ROUND(2*E23,0)/2</f>
        <v>1143.5</v>
      </c>
      <c r="G23">
        <f>+C23-(C$7+F23*C$8)</f>
        <v>-2.1156999937375076E-3</v>
      </c>
      <c r="I23">
        <f>+G23</f>
        <v>-2.1156999937375076E-3</v>
      </c>
      <c r="O23">
        <f ca="1">+C$11+C$12*$F23</f>
        <v>5.6017791506779576E-4</v>
      </c>
      <c r="Q23" s="2">
        <f>+C23-15018.5</f>
        <v>38516.225100000003</v>
      </c>
    </row>
    <row r="24" spans="1:17" x14ac:dyDescent="0.2">
      <c r="A24" s="32" t="s">
        <v>41</v>
      </c>
      <c r="B24" s="31" t="s">
        <v>42</v>
      </c>
      <c r="C24" s="32">
        <v>53545.576800000003</v>
      </c>
      <c r="D24" s="32">
        <v>5.9999999999999995E-4</v>
      </c>
      <c r="E24">
        <f>+(C24-C$7)/C$8</f>
        <v>1155.4990686817675</v>
      </c>
      <c r="F24">
        <f>ROUND(2*E24,0)/2</f>
        <v>1155.5</v>
      </c>
      <c r="G24">
        <f>+C24-(C$7+F24*C$8)</f>
        <v>-8.4209999477025121E-4</v>
      </c>
      <c r="I24">
        <f>+G24</f>
        <v>-8.4209999477025121E-4</v>
      </c>
      <c r="O24">
        <f ca="1">+C$11+C$12*$F24</f>
        <v>5.6403186944693859E-4</v>
      </c>
      <c r="Q24" s="2">
        <f>+C24-15018.5</f>
        <v>38527.076800000003</v>
      </c>
    </row>
    <row r="25" spans="1:17" x14ac:dyDescent="0.2">
      <c r="A25" s="33" t="s">
        <v>43</v>
      </c>
      <c r="B25" s="34" t="s">
        <v>42</v>
      </c>
      <c r="C25" s="35">
        <v>57147.921000000002</v>
      </c>
      <c r="D25" s="35">
        <v>2.0000000000000001E-4</v>
      </c>
      <c r="E25">
        <f>+(C25-C$7)/C$8</f>
        <v>5139.5019830741458</v>
      </c>
      <c r="F25">
        <f>ROUND(2*E25,0)/2</f>
        <v>5139.5</v>
      </c>
      <c r="G25">
        <f>+C25-(C$7+F25*C$8)</f>
        <v>1.7931000038515776E-3</v>
      </c>
      <c r="J25">
        <f>+G25</f>
        <v>1.7931000038515776E-3</v>
      </c>
      <c r="O25">
        <f ca="1">+C$11+C$12*$F25</f>
        <v>1.8435447233223646E-3</v>
      </c>
      <c r="Q25" s="2">
        <f>+C25-15018.5</f>
        <v>42129.421000000002</v>
      </c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2024-01-16T23:45:51Z</dcterms:modified>
</cp:coreProperties>
</file>