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38D62F80-8772-4FFD-8B6C-E07A7FC2ACF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G11" i="1"/>
  <c r="F11" i="1"/>
  <c r="Q22" i="1"/>
  <c r="Q23" i="1"/>
  <c r="Q24" i="1"/>
  <c r="Q25" i="1"/>
  <c r="C21" i="1"/>
  <c r="E21" i="1"/>
  <c r="F21" i="1"/>
  <c r="G21" i="1"/>
  <c r="H21" i="1"/>
  <c r="A21" i="1"/>
  <c r="H20" i="1"/>
  <c r="E14" i="1"/>
  <c r="E15" i="1" s="1"/>
  <c r="C17" i="1"/>
  <c r="Q21" i="1"/>
  <c r="C12" i="1"/>
  <c r="C11" i="1"/>
  <c r="O22" i="1" l="1"/>
  <c r="S22" i="1" s="1"/>
  <c r="O21" i="1"/>
  <c r="S21" i="1" s="1"/>
  <c r="O24" i="1"/>
  <c r="S24" i="1" s="1"/>
  <c r="C15" i="1"/>
  <c r="O23" i="1"/>
  <c r="S23" i="1" s="1"/>
  <c r="O25" i="1"/>
  <c r="S25" i="1" s="1"/>
  <c r="C16" i="1"/>
  <c r="D18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<sst xmlns="http://schemas.openxmlformats.org/spreadsheetml/2006/main" count="62" uniqueCount="53">
  <si>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</si>
  <si>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</si>
  <si>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</si>
  <si>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</si>
  <si>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</si>
  <si>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</si>
  <si>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</si>
  <si>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</si>
  <si>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</si>
  <si>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</si>
  <si>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</si>
  <si>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</si>
  <si>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</si>
  <si>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</si>
  <si>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</si>
  <si>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</si>
  <si>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</si>
  <si>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</si>
  <si>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</si>
  <si>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</si>
  <si>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</si>
  <si>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</si>
  <si>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</si>
  <si>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</si>
  <si>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</si>
  <si>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</si>
  <si>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</si>
  <si>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</si>
  <si>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</si>
  <si>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</si>
  <si>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</si>
  <si>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</si>
  <si>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</si>
  <si>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</si>
  <si>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</si>
  <si>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</si>
  <si>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</si>
  <si>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</si>
  <si>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</si>
  <si>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</si>
  <si>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</si>
  <si>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AF Cru</t>
  </si>
  <si>
    <t>AF Cru / GSC 8979-1493</t>
  </si>
  <si>
    <t>Cru_AF.xls</t>
  </si>
  <si>
    <t>EA</t>
  </si>
  <si>
    <t>Cru</t>
  </si>
  <si>
    <t>G8979-1493</t>
  </si>
  <si>
    <t>GRAV</t>
  </si>
  <si>
    <t>VSS_2013-01-28</t>
  </si>
  <si>
    <t>I</t>
  </si>
  <si>
    <t>II</t>
  </si>
  <si>
    <t>VSS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</si>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</sst>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1" xfId="0" applyFill="1" applyBorder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AF Cru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GRAV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16240</c:v>
                </c:pt>
                <c:pt idx="2">
                  <c:v>16249</c:v>
                </c:pt>
                <c:pt idx="3">
                  <c:v>16411</c:v>
                </c:pt>
                <c:pt idx="4">
                  <c:v>16554.5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E9-4367-8BEE-138CE43C76E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16240</c:v>
                </c:pt>
                <c:pt idx="2">
                  <c:v>16249</c:v>
                </c:pt>
                <c:pt idx="3">
                  <c:v>16411</c:v>
                </c:pt>
                <c:pt idx="4">
                  <c:v>16554.5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0.22643999999854714</c:v>
                </c:pt>
                <c:pt idx="2">
                  <c:v>0.22535400000197114</c:v>
                </c:pt>
                <c:pt idx="3">
                  <c:v>0.22537099999317434</c:v>
                </c:pt>
                <c:pt idx="4">
                  <c:v>0.22452949999569682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E9-4367-8BEE-138CE43C76E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16240</c:v>
                </c:pt>
                <c:pt idx="2">
                  <c:v>16249</c:v>
                </c:pt>
                <c:pt idx="3">
                  <c:v>16411</c:v>
                </c:pt>
                <c:pt idx="4">
                  <c:v>16554.5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E9-4367-8BEE-138CE43C76E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16240</c:v>
                </c:pt>
                <c:pt idx="2">
                  <c:v>16249</c:v>
                </c:pt>
                <c:pt idx="3">
                  <c:v>16411</c:v>
                </c:pt>
                <c:pt idx="4">
                  <c:v>16554.5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E9-4367-8BEE-138CE43C76E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16240</c:v>
                </c:pt>
                <c:pt idx="2">
                  <c:v>16249</c:v>
                </c:pt>
                <c:pt idx="3">
                  <c:v>16411</c:v>
                </c:pt>
                <c:pt idx="4">
                  <c:v>16554.5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E9-4367-8BEE-138CE43C76E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16240</c:v>
                </c:pt>
                <c:pt idx="2">
                  <c:v>16249</c:v>
                </c:pt>
                <c:pt idx="3">
                  <c:v>16411</c:v>
                </c:pt>
                <c:pt idx="4">
                  <c:v>16554.5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E9-4367-8BEE-138CE43C76E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16240</c:v>
                </c:pt>
                <c:pt idx="2">
                  <c:v>16249</c:v>
                </c:pt>
                <c:pt idx="3">
                  <c:v>16411</c:v>
                </c:pt>
                <c:pt idx="4">
                  <c:v>16554.5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E9-4367-8BEE-138CE43C76E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16240</c:v>
                </c:pt>
                <c:pt idx="2">
                  <c:v>16249</c:v>
                </c:pt>
                <c:pt idx="3">
                  <c:v>16411</c:v>
                </c:pt>
                <c:pt idx="4">
                  <c:v>16554.5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0.29634790885202972</c:v>
                </c:pt>
                <c:pt idx="1">
                  <c:v>0.22595944848337415</c:v>
                </c:pt>
                <c:pt idx="2">
                  <c:v>0.22592044010016493</c:v>
                </c:pt>
                <c:pt idx="3">
                  <c:v>0.22521828920239878</c:v>
                </c:pt>
                <c:pt idx="4">
                  <c:v>0.2245963222034516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E9-4367-8BEE-138CE43C76E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16240</c:v>
                </c:pt>
                <c:pt idx="2">
                  <c:v>16249</c:v>
                </c:pt>
                <c:pt idx="3">
                  <c:v>16411</c:v>
                </c:pt>
                <c:pt idx="4">
                  <c:v>16554.5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BE9-4367-8BEE-138CE43C7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552560"/>
        <c:axId val="1"/>
      </c:scatterChart>
      <c:valAx>
        <c:axId val="558552560"/>
        <c:scaling>
          <c:orientation val="minMax"/>
          <c:min val="1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4"/>
          <c:min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5525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49624060150375"/>
          <c:y val="0.92375366568914952"/>
          <c:w val="0.7443609022556391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AF Cru - O-C Diagr.</a:t>
            </a:r>
          </a:p>
        </c:rich>
      </c:tx>
      <c:layout>
        <c:manualLayout>
          <c:xMode val="edge"/>
          <c:yMode val="edge"/>
          <c:x val="0.3873880179391990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62781476957638"/>
          <c:y val="0.14035127795846455"/>
          <c:w val="0.825827036744317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GRAV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16240</c:v>
                </c:pt>
                <c:pt idx="2">
                  <c:v>16249</c:v>
                </c:pt>
                <c:pt idx="3">
                  <c:v>16411</c:v>
                </c:pt>
                <c:pt idx="4">
                  <c:v>16554.5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F6-4D27-8913-8ED58213986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16240</c:v>
                </c:pt>
                <c:pt idx="2">
                  <c:v>16249</c:v>
                </c:pt>
                <c:pt idx="3">
                  <c:v>16411</c:v>
                </c:pt>
                <c:pt idx="4">
                  <c:v>16554.5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0.22643999999854714</c:v>
                </c:pt>
                <c:pt idx="2">
                  <c:v>0.22535400000197114</c:v>
                </c:pt>
                <c:pt idx="3">
                  <c:v>0.22537099999317434</c:v>
                </c:pt>
                <c:pt idx="4">
                  <c:v>0.22452949999569682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F6-4D27-8913-8ED58213986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16240</c:v>
                </c:pt>
                <c:pt idx="2">
                  <c:v>16249</c:v>
                </c:pt>
                <c:pt idx="3">
                  <c:v>16411</c:v>
                </c:pt>
                <c:pt idx="4">
                  <c:v>16554.5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F6-4D27-8913-8ED58213986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16240</c:v>
                </c:pt>
                <c:pt idx="2">
                  <c:v>16249</c:v>
                </c:pt>
                <c:pt idx="3">
                  <c:v>16411</c:v>
                </c:pt>
                <c:pt idx="4">
                  <c:v>16554.5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F6-4D27-8913-8ED58213986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16240</c:v>
                </c:pt>
                <c:pt idx="2">
                  <c:v>16249</c:v>
                </c:pt>
                <c:pt idx="3">
                  <c:v>16411</c:v>
                </c:pt>
                <c:pt idx="4">
                  <c:v>16554.5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F6-4D27-8913-8ED58213986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16240</c:v>
                </c:pt>
                <c:pt idx="2">
                  <c:v>16249</c:v>
                </c:pt>
                <c:pt idx="3">
                  <c:v>16411</c:v>
                </c:pt>
                <c:pt idx="4">
                  <c:v>16554.5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F6-4D27-8913-8ED58213986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2.9E-5</c:v>
                  </c:pt>
                  <c:pt idx="3">
                    <c:v>1.7000000000000001E-4</c:v>
                  </c:pt>
                  <c:pt idx="4">
                    <c:v>6.0000000000000002E-5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16240</c:v>
                </c:pt>
                <c:pt idx="2">
                  <c:v>16249</c:v>
                </c:pt>
                <c:pt idx="3">
                  <c:v>16411</c:v>
                </c:pt>
                <c:pt idx="4">
                  <c:v>16554.5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F6-4D27-8913-8ED58213986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16240</c:v>
                </c:pt>
                <c:pt idx="2">
                  <c:v>16249</c:v>
                </c:pt>
                <c:pt idx="3">
                  <c:v>16411</c:v>
                </c:pt>
                <c:pt idx="4">
                  <c:v>16554.5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0.29634790885202972</c:v>
                </c:pt>
                <c:pt idx="1">
                  <c:v>0.22595944848337415</c:v>
                </c:pt>
                <c:pt idx="2">
                  <c:v>0.22592044010016493</c:v>
                </c:pt>
                <c:pt idx="3">
                  <c:v>0.22521828920239878</c:v>
                </c:pt>
                <c:pt idx="4">
                  <c:v>0.2245963222034516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F6-4D27-8913-8ED58213986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16240</c:v>
                </c:pt>
                <c:pt idx="2">
                  <c:v>16249</c:v>
                </c:pt>
                <c:pt idx="3">
                  <c:v>16411</c:v>
                </c:pt>
                <c:pt idx="4">
                  <c:v>16554.5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DF6-4D27-8913-8ED582139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9384224"/>
        <c:axId val="1"/>
      </c:scatterChart>
      <c:valAx>
        <c:axId val="549384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233107122870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9384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519551047110101"/>
          <c:y val="0.92397937099967764"/>
          <c:w val="0.7432443467089135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28576</xdr:rowOff>
    </xdr:from>
    <xdr:to>
      <xdr:col>17</xdr:col>
      <xdr:colOff>600075</xdr:colOff>
      <xdr:row>18</xdr:row>
      <xdr:rowOff>152401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0E3CCEF-F649-AAF2-F9B5-97E6BDCCA4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171450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1DD160BD-2328-ED1A-6A99-71836FA4D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selection activeCell="E34" sqref="E34"/>
    </sheetView>
  </sheetViews>
  <sheetFormatPr defaultColWidth="10.28515625" defaultRowHeight="12.75" x14ac:dyDescent="0.2"/>
  <cols>
    <col min="1" max="1" width="15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  <c r="E1" t="s">
        <v>43</v>
      </c>
    </row>
    <row r="2" spans="1:7" x14ac:dyDescent="0.2">
      <c r="A2" t="s">
        <v>23</v>
      </c>
      <c r="B2" t="s">
        <v>44</v>
      </c>
      <c r="C2" s="31" t="s">
        <v>40</v>
      </c>
      <c r="D2" s="3" t="s">
        <v>45</v>
      </c>
      <c r="E2" s="32" t="s">
        <v>41</v>
      </c>
      <c r="F2" t="s">
        <v>46</v>
      </c>
    </row>
    <row r="3" spans="1:7" ht="13.5" thickBot="1" x14ac:dyDescent="0.25">
      <c r="E3" t="s">
        <v>46</v>
      </c>
    </row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24988.958999999999</v>
      </c>
      <c r="D7" s="30" t="s">
        <v>47</v>
      </c>
    </row>
    <row r="8" spans="1:7" x14ac:dyDescent="0.2">
      <c r="A8" t="s">
        <v>3</v>
      </c>
      <c r="C8" s="36">
        <v>1.895669</v>
      </c>
      <c r="D8" s="30" t="s">
        <v>47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0.29634790885202972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-4.3342648010255887E-6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60326.533131944445</v>
      </c>
    </row>
    <row r="15" spans="1:7" x14ac:dyDescent="0.2">
      <c r="A15" s="12" t="s">
        <v>17</v>
      </c>
      <c r="B15" s="10"/>
      <c r="C15" s="13">
        <f ca="1">(C7+C11)+(C8+C12)*INT(MAX(F21:F3533))</f>
        <v>56370.088224489329</v>
      </c>
      <c r="D15" s="14" t="s">
        <v>37</v>
      </c>
      <c r="E15" s="15">
        <f ca="1">ROUND(2*(E14-$C$7)/$C$8,0)/2+E13</f>
        <v>18642</v>
      </c>
    </row>
    <row r="16" spans="1:7" x14ac:dyDescent="0.2">
      <c r="A16" s="16" t="s">
        <v>4</v>
      </c>
      <c r="B16" s="10"/>
      <c r="C16" s="17">
        <f ca="1">+C8+C12</f>
        <v>1.895664665735199</v>
      </c>
      <c r="D16" s="14" t="s">
        <v>38</v>
      </c>
      <c r="E16" s="24">
        <f ca="1">ROUND(2*(E14-$C$15)/$C$16,0)/2+E13</f>
        <v>2088</v>
      </c>
    </row>
    <row r="17" spans="1:19" ht="13.5" thickBot="1" x14ac:dyDescent="0.25">
      <c r="A17" s="14" t="s">
        <v>28</v>
      </c>
      <c r="B17" s="10"/>
      <c r="C17" s="10">
        <f>COUNT(C21:C2191)</f>
        <v>5</v>
      </c>
      <c r="D17" s="14" t="s">
        <v>32</v>
      </c>
      <c r="E17" s="18">
        <f ca="1">+$C$15+$C$16*E16-15018.5-$C$9/24</f>
        <v>45310.131879877757</v>
      </c>
    </row>
    <row r="18" spans="1:19" ht="14.25" thickTop="1" thickBot="1" x14ac:dyDescent="0.25">
      <c r="A18" s="16" t="s">
        <v>5</v>
      </c>
      <c r="B18" s="10"/>
      <c r="C18" s="19">
        <f ca="1">+C15</f>
        <v>56370.088224489329</v>
      </c>
      <c r="D18" s="20">
        <f ca="1">+C16</f>
        <v>1.895664665735199</v>
      </c>
      <c r="E18" s="21" t="s">
        <v>33</v>
      </c>
    </row>
    <row r="19" spans="1:19" ht="13.5" thickTop="1" x14ac:dyDescent="0.2">
      <c r="A19" s="25" t="s">
        <v>34</v>
      </c>
      <c r="E19" s="26">
        <v>22</v>
      </c>
      <c r="S19">
        <f ca="1">SQRT(SUM(S21:S50)/(COUNT(S21:S50)-1))</f>
        <v>0.14817444335217492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GRAV</v>
      </c>
      <c r="I20" s="7" t="s">
        <v>51</v>
      </c>
      <c r="J20" s="7" t="s">
        <v>52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9" x14ac:dyDescent="0.2">
      <c r="A21" t="str">
        <f>D7</f>
        <v>GRAV</v>
      </c>
      <c r="C21" s="8">
        <f>C$7</f>
        <v>24988.958999999999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0.29634790885202972</v>
      </c>
      <c r="Q21" s="2">
        <f>+C21-15018.5</f>
        <v>9970.4589999999989</v>
      </c>
      <c r="S21">
        <f ca="1">+(O21-G21)^2</f>
        <v>8.782208308097092E-2</v>
      </c>
    </row>
    <row r="22" spans="1:19" x14ac:dyDescent="0.2">
      <c r="A22" s="33" t="s">
        <v>48</v>
      </c>
      <c r="B22" s="34" t="s">
        <v>49</v>
      </c>
      <c r="C22" s="35">
        <v>55774.85</v>
      </c>
      <c r="D22" s="35">
        <v>0.01</v>
      </c>
      <c r="E22">
        <f>+(C22-C$7)/C$8</f>
        <v>16240.119451233311</v>
      </c>
      <c r="F22">
        <f>ROUND(2*E22,0)/2</f>
        <v>16240</v>
      </c>
      <c r="G22">
        <f>+C22-(C$7+F22*C$8)</f>
        <v>0.22643999999854714</v>
      </c>
      <c r="I22">
        <f>+G22</f>
        <v>0.22643999999854714</v>
      </c>
      <c r="O22">
        <f ca="1">+C$11+C$12*$F22</f>
        <v>0.22595944848337415</v>
      </c>
      <c r="Q22" s="2">
        <f>+C22-15018.5</f>
        <v>40756.35</v>
      </c>
      <c r="S22">
        <f ca="1">+(O22-G22)^2</f>
        <v>2.3092975873505004E-7</v>
      </c>
    </row>
    <row r="23" spans="1:19" x14ac:dyDescent="0.2">
      <c r="A23" s="33" t="s">
        <v>48</v>
      </c>
      <c r="B23" s="34" t="s">
        <v>49</v>
      </c>
      <c r="C23" s="35">
        <v>55791.909935000003</v>
      </c>
      <c r="D23" s="35">
        <v>2.9E-5</v>
      </c>
      <c r="E23">
        <f>+(C23-C$7)/C$8</f>
        <v>16249.11887834849</v>
      </c>
      <c r="F23">
        <f>ROUND(2*E23,0)/2</f>
        <v>16249</v>
      </c>
      <c r="G23">
        <f>+C23-(C$7+F23*C$8)</f>
        <v>0.22535400000197114</v>
      </c>
      <c r="I23">
        <f>+G23</f>
        <v>0.22535400000197114</v>
      </c>
      <c r="O23">
        <f ca="1">+C$11+C$12*$F23</f>
        <v>0.22592044010016493</v>
      </c>
      <c r="Q23" s="2">
        <f>+C23-15018.5</f>
        <v>40773.409935000003</v>
      </c>
      <c r="S23">
        <f ca="1">+(O23-G23)^2</f>
        <v>3.20854384841788E-7</v>
      </c>
    </row>
    <row r="24" spans="1:19" x14ac:dyDescent="0.2">
      <c r="A24" s="33" t="s">
        <v>48</v>
      </c>
      <c r="B24" s="34" t="s">
        <v>49</v>
      </c>
      <c r="C24" s="35">
        <v>56099.008329999997</v>
      </c>
      <c r="D24" s="35">
        <v>1.7000000000000001E-4</v>
      </c>
      <c r="E24">
        <f>+(C24-C$7)/C$8</f>
        <v>16411.118887316297</v>
      </c>
      <c r="F24">
        <f>ROUND(2*E24,0)/2</f>
        <v>16411</v>
      </c>
      <c r="G24">
        <f>+C24-(C$7+F24*C$8)</f>
        <v>0.22537099999317434</v>
      </c>
      <c r="I24">
        <f>+G24</f>
        <v>0.22537099999317434</v>
      </c>
      <c r="O24">
        <f ca="1">+C$11+C$12*$F24</f>
        <v>0.22521828920239878</v>
      </c>
      <c r="Q24" s="2">
        <f>+C24-15018.5</f>
        <v>41080.508329999997</v>
      </c>
      <c r="S24">
        <f ca="1">+(O24-G24)^2</f>
        <v>2.3320585619295789E-8</v>
      </c>
    </row>
    <row r="25" spans="1:19" x14ac:dyDescent="0.2">
      <c r="A25" s="33" t="s">
        <v>48</v>
      </c>
      <c r="B25" s="34" t="s">
        <v>50</v>
      </c>
      <c r="C25" s="35">
        <v>56371.035989999997</v>
      </c>
      <c r="D25" s="35">
        <v>6.0000000000000002E-5</v>
      </c>
      <c r="E25">
        <f>+(C25-C$7)/C$8</f>
        <v>16554.618443409687</v>
      </c>
      <c r="F25">
        <f>ROUND(2*E25,0)/2</f>
        <v>16554.5</v>
      </c>
      <c r="G25">
        <f>+C25-(C$7+F25*C$8)</f>
        <v>0.22452949999569682</v>
      </c>
      <c r="I25">
        <f>+G25</f>
        <v>0.22452949999569682</v>
      </c>
      <c r="O25">
        <f ca="1">+C$11+C$12*$F25</f>
        <v>0.2245963222034516</v>
      </c>
      <c r="Q25" s="2">
        <f>+C25-15018.5</f>
        <v>41352.535989999997</v>
      </c>
      <c r="S25">
        <f ca="1">+(O25-G25)^2</f>
        <v>4.4652074492229487E-9</v>
      </c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2024-01-16T23:47:42Z</dcterms:modified>
</cp:coreProperties>
</file>