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BD6170C-10B1-451D-9FE6-54F267F5AD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ols)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22" i="1"/>
  <c r="F22" i="1"/>
  <c r="G22" i="1"/>
  <c r="K22" i="1"/>
  <c r="E23" i="1"/>
  <c r="F23" i="1"/>
  <c r="G23" i="1"/>
  <c r="K23" i="1"/>
  <c r="E24" i="1"/>
  <c r="F24" i="1"/>
  <c r="G24" i="1"/>
  <c r="K24" i="1"/>
  <c r="D9" i="1"/>
  <c r="C9" i="1"/>
  <c r="Q22" i="1"/>
  <c r="C7" i="2"/>
  <c r="G24" i="2"/>
  <c r="K24" i="2"/>
  <c r="C8" i="2"/>
  <c r="D8" i="2"/>
  <c r="C9" i="2"/>
  <c r="D9" i="2"/>
  <c r="F16" i="2"/>
  <c r="F17" i="2" s="1"/>
  <c r="C17" i="2"/>
  <c r="E21" i="2"/>
  <c r="F21" i="2"/>
  <c r="G21" i="2"/>
  <c r="H21" i="2"/>
  <c r="Q21" i="2"/>
  <c r="E22" i="2"/>
  <c r="F22" i="2"/>
  <c r="G22" i="2"/>
  <c r="K22" i="2"/>
  <c r="Q22" i="2"/>
  <c r="E23" i="2"/>
  <c r="F23" i="2"/>
  <c r="G23" i="2"/>
  <c r="K23" i="2"/>
  <c r="Q23" i="2"/>
  <c r="E24" i="2"/>
  <c r="F24" i="2"/>
  <c r="Q24" i="2"/>
  <c r="Q23" i="1"/>
  <c r="Q24" i="1"/>
  <c r="Q21" i="1"/>
  <c r="D8" i="1"/>
  <c r="F16" i="1"/>
  <c r="F17" i="1" s="1"/>
  <c r="C17" i="1"/>
  <c r="E21" i="1"/>
  <c r="F21" i="1"/>
  <c r="G21" i="1"/>
  <c r="H21" i="1"/>
  <c r="C11" i="1"/>
  <c r="C12" i="1"/>
  <c r="C12" i="2"/>
  <c r="C11" i="2"/>
  <c r="C15" i="2" l="1"/>
  <c r="F18" i="2" s="1"/>
  <c r="O22" i="2"/>
  <c r="O23" i="2"/>
  <c r="O21" i="2"/>
  <c r="O24" i="2"/>
  <c r="C16" i="2"/>
  <c r="D18" i="2" s="1"/>
  <c r="C16" i="1"/>
  <c r="D18" i="1" s="1"/>
  <c r="O22" i="1"/>
  <c r="C15" i="1"/>
  <c r="O21" i="1"/>
  <c r="O24" i="1"/>
  <c r="O23" i="1"/>
  <c r="C18" i="1" l="1"/>
  <c r="F18" i="1"/>
  <c r="F19" i="1" s="1"/>
  <c r="C18" i="2"/>
  <c r="F19" i="2"/>
</calcChain>
</file>

<file path=xl/sharedStrings.xml><?xml version="1.0" encoding="utf-8"?>
<sst xmlns="http://schemas.openxmlformats.org/spreadsheetml/2006/main" count="111" uniqueCount="55">
  <si>
    <t>Cycle adjustment is highly speculative</t>
  </si>
  <si>
    <t>PE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</si>
  <si>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</si>
  <si>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</si>
  <si>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</si>
  <si>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</si>
  <si>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</si>
  <si>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</si>
  <si>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</si>
  <si>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</si>
  <si>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</si>
  <si>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</si>
  <si>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</si>
  <si>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</si>
  <si>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</si>
  <si>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</si>
  <si>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</si>
  <si>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</si>
  <si>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</si>
  <si>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</si>
  <si>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</si>
  <si>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</si>
  <si>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</si>
  <si>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</si>
  <si>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</si>
  <si>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</si>
  <si>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</si>
  <si>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</si>
  <si>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</si>
  <si>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</si>
  <si>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</si>
  <si>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</si>
  <si>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</si>
  <si>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</si>
  <si>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</si>
  <si>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</si>
  <si>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</si>
  <si>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</si>
  <si>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</si>
  <si>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</si>
  <si>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</si>
  <si>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</si>
  <si>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BF Cru</t>
  </si>
  <si>
    <t>G8992-1698</t>
  </si>
  <si>
    <t>EW</t>
  </si>
  <si>
    <t>BF Cru / GSC 8992-1698</t>
  </si>
  <si>
    <t>GCVS 4</t>
  </si>
  <si>
    <t>Malkov</t>
  </si>
  <si>
    <t>Pavlov 2015, pc</t>
  </si>
  <si>
    <t>II</t>
  </si>
  <si>
    <t>vis</t>
  </si>
  <si>
    <t>OEJV 0179</t>
  </si>
  <si>
    <t>JAVSO..44…26</t>
  </si>
  <si>
    <t>S2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</si>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</sst>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8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16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6" fillId="24" borderId="5" xfId="0" applyFont="1" applyFill="1" applyBorder="1" applyAlignment="1">
      <alignment vertical="center"/>
    </xf>
    <xf numFmtId="0" fontId="18" fillId="0" borderId="5" xfId="0" applyNumberFormat="1" applyFont="1" applyBorder="1" applyAlignment="1">
      <alignment horizontal="left" vertical="center"/>
    </xf>
    <xf numFmtId="0" fontId="16" fillId="0" borderId="5" xfId="0" applyNumberFormat="1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 wrapText="1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35" fillId="26" borderId="0" xfId="0" applyFont="1" applyFill="1" applyAlignment="1"/>
    <xf numFmtId="0" fontId="36" fillId="27" borderId="0" xfId="0" applyFont="1" applyFill="1" applyAlignment="1">
      <alignment horizontal="left"/>
    </xf>
    <xf numFmtId="0" fontId="36" fillId="27" borderId="0" xfId="0" applyFont="1" applyFill="1" applyAlignment="1">
      <alignment horizontal="center"/>
    </xf>
    <xf numFmtId="0" fontId="36" fillId="27" borderId="0" xfId="0" applyFont="1" applyFill="1" applyAlignment="1"/>
    <xf numFmtId="0" fontId="0" fillId="27" borderId="0" xfId="0" applyFill="1" applyAlignment="1"/>
    <xf numFmtId="0" fontId="38" fillId="0" borderId="0" xfId="41" applyFont="1"/>
    <xf numFmtId="0" fontId="38" fillId="0" borderId="0" xfId="41" applyFont="1" applyAlignment="1">
      <alignment horizontal="center"/>
    </xf>
    <xf numFmtId="0" fontId="38" fillId="0" borderId="0" xfId="41" applyFont="1" applyAlignment="1">
      <alignment horizontal="left"/>
    </xf>
    <xf numFmtId="0" fontId="34" fillId="0" borderId="0" xfId="0" applyFont="1">
      <alignment vertical="top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Cru - O-C Diagr.</a:t>
            </a:r>
          </a:p>
        </c:rich>
      </c:tx>
      <c:layout>
        <c:manualLayout>
          <c:xMode val="edge"/>
          <c:yMode val="edge"/>
          <c:x val="0.3879699248120300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201183431952663"/>
          <c:w val="0.82857142857142863"/>
          <c:h val="0.64201183431952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7D-491C-95B1-AEA604FB69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7D-491C-95B1-AEA604FB69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7D-491C-95B1-AEA604FB69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-3.0031534800946247</c:v>
                </c:pt>
                <c:pt idx="2">
                  <c:v>-3.0014899200032232</c:v>
                </c:pt>
                <c:pt idx="3">
                  <c:v>-3.0366649200004758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7D-491C-95B1-AEA604FB69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7D-491C-95B1-AEA604FB69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7D-491C-95B1-AEA604FB69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7D-491C-95B1-AEA604FB69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6.8218494268797336E-2</c:v>
                </c:pt>
                <c:pt idx="1">
                  <c:v>-3.0016349893022611</c:v>
                </c:pt>
                <c:pt idx="2">
                  <c:v>-3.0030735678550413</c:v>
                </c:pt>
                <c:pt idx="3">
                  <c:v>-3.0365997629410217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7D-491C-95B1-AEA604FB691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7D-491C-95B1-AEA604FB6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608712"/>
        <c:axId val="1"/>
      </c:scatterChart>
      <c:valAx>
        <c:axId val="490608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319526627218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278106508875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608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07692307692313"/>
          <c:w val="0.7142857142857143"/>
          <c:h val="5.9171597633136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Cru - O-C Diagr.</a:t>
            </a:r>
          </a:p>
        </c:rich>
      </c:tx>
      <c:layout>
        <c:manualLayout>
          <c:xMode val="edge"/>
          <c:yMode val="edge"/>
          <c:x val="0.3879699248120300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201183431952663"/>
          <c:w val="0.81954887218045114"/>
          <c:h val="0.64201183431952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(ols)'!$H$20:$H$20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(ols)'!$D$21:$D$238</c:f>
                <c:numCache>
                  <c:formatCode>General</c:formatCode>
                  <c:ptCount val="21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(ols)'!$D$21:$D$238</c:f>
                <c:numCache>
                  <c:formatCode>General</c:formatCode>
                  <c:ptCount val="21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(ols)'!$F$21:$F$998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(ols)'!$H$21:$H$998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B-42CA-84FD-AFA61382AA30}"/>
            </c:ext>
          </c:extLst>
        </c:ser>
        <c:ser>
          <c:idx val="1"/>
          <c:order val="1"/>
          <c:tx>
            <c:strRef>
              <c:f>'A (ols)'!$I$20:$I$20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(ols)'!$F$21:$F$998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(ols)'!$I$21:$I$998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4B-42CA-84FD-AFA61382AA30}"/>
            </c:ext>
          </c:extLst>
        </c:ser>
        <c:ser>
          <c:idx val="3"/>
          <c:order val="2"/>
          <c:tx>
            <c:strRef>
              <c:f>'A (ols)'!$J$20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(ols)'!$F$21:$F$998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(ols)'!$J$21:$J$998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4B-42CA-84FD-AFA61382AA30}"/>
            </c:ext>
          </c:extLst>
        </c:ser>
        <c:ser>
          <c:idx val="4"/>
          <c:order val="3"/>
          <c:tx>
            <c:strRef>
              <c:f>'A (ols)'!$K$20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(ols)'!$F$21:$F$998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(ols)'!$K$21:$K$998</c:f>
              <c:numCache>
                <c:formatCode>General</c:formatCode>
                <c:ptCount val="978"/>
                <c:pt idx="1">
                  <c:v>-1.03155600008904E-2</c:v>
                </c:pt>
                <c:pt idx="2">
                  <c:v>-8.6520000040763989E-3</c:v>
                </c:pt>
                <c:pt idx="3">
                  <c:v>-4.3827000001328997E-2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4B-42CA-84FD-AFA61382AA30}"/>
            </c:ext>
          </c:extLst>
        </c:ser>
        <c:ser>
          <c:idx val="2"/>
          <c:order val="4"/>
          <c:tx>
            <c:strRef>
              <c:f>'A (ols)'!$L$20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(ols)'!$F$21:$F$998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(ols)'!$L$21:$L$998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4B-42CA-84FD-AFA61382AA30}"/>
            </c:ext>
          </c:extLst>
        </c:ser>
        <c:ser>
          <c:idx val="5"/>
          <c:order val="5"/>
          <c:tx>
            <c:strRef>
              <c:f>'A (ols)'!$M$20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(ols)'!$F$21:$F$998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(ols)'!$M$21:$M$998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4B-42CA-84FD-AFA61382AA30}"/>
            </c:ext>
          </c:extLst>
        </c:ser>
        <c:ser>
          <c:idx val="6"/>
          <c:order val="6"/>
          <c:tx>
            <c:strRef>
              <c:f>'A (ols)'!$N$20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(ols)'!$D$21:$D$998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(ols)'!$F$21:$F$998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(ols)'!$N$21:$N$998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4B-42CA-84FD-AFA61382AA30}"/>
            </c:ext>
          </c:extLst>
        </c:ser>
        <c:ser>
          <c:idx val="7"/>
          <c:order val="7"/>
          <c:tx>
            <c:strRef>
              <c:f>'A (ols)'!$O$20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(ols)'!$F$21:$F$998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(ols)'!$O$21:$O$998</c:f>
              <c:numCache>
                <c:formatCode>General</c:formatCode>
                <c:ptCount val="978"/>
                <c:pt idx="0">
                  <c:v>2.5228559701459194E-4</c:v>
                </c:pt>
                <c:pt idx="1">
                  <c:v>-2.093187094161925E-2</c:v>
                </c:pt>
                <c:pt idx="2">
                  <c:v>-2.0941799095623742E-2</c:v>
                </c:pt>
                <c:pt idx="3">
                  <c:v>-2.1173175566067393E-2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4B-42CA-84FD-AFA61382AA30}"/>
            </c:ext>
          </c:extLst>
        </c:ser>
        <c:ser>
          <c:idx val="8"/>
          <c:order val="8"/>
          <c:tx>
            <c:strRef>
              <c:f>'A (ols)'!$U$20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(ols)'!$F$21:$F$998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(ols)'!$U$21:$U$998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4B-42CA-84FD-AFA61382A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48960"/>
        <c:axId val="1"/>
      </c:scatterChart>
      <c:valAx>
        <c:axId val="397248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19526627218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278106508875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248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203007518796993"/>
          <c:y val="0.92307692307692313"/>
          <c:w val="0.9263157894736842"/>
          <c:h val="0.982248520710059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17</xdr:col>
      <xdr:colOff>104775</xdr:colOff>
      <xdr:row>18</xdr:row>
      <xdr:rowOff>161925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BC4B6F9-151B-6E23-33D5-A2FDE39D0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17</xdr:col>
      <xdr:colOff>104775</xdr:colOff>
      <xdr:row>18</xdr:row>
      <xdr:rowOff>161925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011EE4D8-6558-EE2A-58F6-2F2AC260E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7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42</v>
      </c>
      <c r="G1" s="32">
        <v>0</v>
      </c>
      <c r="H1" s="33"/>
      <c r="I1" s="34" t="s">
        <v>43</v>
      </c>
      <c r="J1" s="35" t="s">
        <v>42</v>
      </c>
      <c r="K1" s="36">
        <v>12.351839999999999</v>
      </c>
      <c r="L1" s="37">
        <v>-62.391399999999997</v>
      </c>
      <c r="M1" s="38">
        <v>25702.3681</v>
      </c>
      <c r="N1" s="38">
        <v>0.49880632000000003</v>
      </c>
      <c r="O1" s="34" t="s">
        <v>44</v>
      </c>
    </row>
    <row r="2" spans="1:15" x14ac:dyDescent="0.2">
      <c r="A2" t="s">
        <v>28</v>
      </c>
      <c r="B2" t="s">
        <v>44</v>
      </c>
      <c r="C2" s="48" t="s">
        <v>0</v>
      </c>
      <c r="D2" s="49"/>
      <c r="E2" s="50"/>
      <c r="F2" s="51"/>
    </row>
    <row r="3" spans="1:15" ht="13.5" thickBot="1" x14ac:dyDescent="0.25"/>
    <row r="4" spans="1:15" ht="14.25" thickTop="1" thickBot="1" x14ac:dyDescent="0.25">
      <c r="A4" s="5" t="s">
        <v>5</v>
      </c>
      <c r="C4" s="27">
        <v>25702.3681</v>
      </c>
      <c r="D4" s="28">
        <v>0.49880632000000003</v>
      </c>
    </row>
    <row r="5" spans="1:15" ht="13.5" thickTop="1" x14ac:dyDescent="0.2">
      <c r="A5" s="9" t="s">
        <v>33</v>
      </c>
      <c r="B5" s="10"/>
      <c r="C5" s="11">
        <v>-9.5</v>
      </c>
      <c r="D5" s="10" t="s">
        <v>34</v>
      </c>
      <c r="E5" s="10"/>
    </row>
    <row r="6" spans="1:15" x14ac:dyDescent="0.2">
      <c r="A6" s="5" t="s">
        <v>6</v>
      </c>
    </row>
    <row r="7" spans="1:15" x14ac:dyDescent="0.2">
      <c r="A7" t="s">
        <v>7</v>
      </c>
      <c r="C7" s="58">
        <f>M1</f>
        <v>25702.3681</v>
      </c>
      <c r="D7" s="34" t="s">
        <v>47</v>
      </c>
    </row>
    <row r="8" spans="1:15" x14ac:dyDescent="0.2">
      <c r="A8" t="s">
        <v>8</v>
      </c>
      <c r="C8" s="58">
        <f>N1</f>
        <v>0.49880632000000003</v>
      </c>
      <c r="D8" s="29" t="str">
        <f>D7</f>
        <v>Malkov</v>
      </c>
    </row>
    <row r="9" spans="1:15" x14ac:dyDescent="0.2">
      <c r="A9" s="24" t="s">
        <v>37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15" x14ac:dyDescent="0.2">
      <c r="A11" s="10" t="s">
        <v>20</v>
      </c>
      <c r="B11" s="10"/>
      <c r="C11" s="21">
        <f ca="1">INTERCEPT(INDIRECT($D$9):G989,INDIRECT($C$9):F989)</f>
        <v>6.8218494268797336E-2</v>
      </c>
      <c r="D11" s="3"/>
      <c r="E11" s="10"/>
    </row>
    <row r="12" spans="1:15" x14ac:dyDescent="0.2">
      <c r="A12" s="10" t="s">
        <v>21</v>
      </c>
      <c r="B12" s="10"/>
      <c r="C12" s="21">
        <f ca="1">SLOPE(INDIRECT($D$9):G989,INDIRECT($C$9):F989)</f>
        <v>-4.8765374670517117E-5</v>
      </c>
      <c r="D12" s="3"/>
      <c r="E12" s="10"/>
    </row>
    <row r="13" spans="1:15" x14ac:dyDescent="0.2">
      <c r="A13" s="10" t="s">
        <v>23</v>
      </c>
      <c r="B13" s="10"/>
      <c r="C13" s="3" t="s">
        <v>18</v>
      </c>
    </row>
    <row r="14" spans="1:15" x14ac:dyDescent="0.2">
      <c r="A14" s="10"/>
      <c r="B14" s="10"/>
      <c r="C14" s="10"/>
    </row>
    <row r="15" spans="1:15" x14ac:dyDescent="0.2">
      <c r="A15" s="12" t="s">
        <v>22</v>
      </c>
      <c r="B15" s="10"/>
      <c r="C15" s="13">
        <f ca="1">(C7+C11)+(C8+C12)*INT(MAX(F21:F3530))</f>
        <v>57457.332306379743</v>
      </c>
      <c r="E15" s="14" t="s">
        <v>39</v>
      </c>
      <c r="F15" s="39">
        <v>1</v>
      </c>
    </row>
    <row r="16" spans="1:15" x14ac:dyDescent="0.2">
      <c r="A16" s="16" t="s">
        <v>9</v>
      </c>
      <c r="B16" s="10"/>
      <c r="C16" s="17">
        <f ca="1">+C8+C12</f>
        <v>0.4987575546253295</v>
      </c>
      <c r="E16" s="14" t="s">
        <v>35</v>
      </c>
      <c r="F16" s="40">
        <f ca="1">NOW()+15018.5+$C$5/24</f>
        <v>60326.538212499996</v>
      </c>
    </row>
    <row r="17" spans="1:21" ht="13.5" thickBot="1" x14ac:dyDescent="0.25">
      <c r="A17" s="14" t="s">
        <v>32</v>
      </c>
      <c r="B17" s="10"/>
      <c r="C17" s="10">
        <f>COUNT(C21:C2188)</f>
        <v>4</v>
      </c>
      <c r="E17" s="14" t="s">
        <v>40</v>
      </c>
      <c r="F17" s="15">
        <f ca="1">ROUND(2*(F16-$C$7)/$C$8,0)/2+F15</f>
        <v>69415</v>
      </c>
    </row>
    <row r="18" spans="1:21" ht="14.25" thickTop="1" thickBot="1" x14ac:dyDescent="0.25">
      <c r="A18" s="16" t="s">
        <v>10</v>
      </c>
      <c r="B18" s="10"/>
      <c r="C18" s="19">
        <f ca="1">+C15</f>
        <v>57457.332306379743</v>
      </c>
      <c r="D18" s="20">
        <f ca="1">+C16</f>
        <v>0.4987575546253295</v>
      </c>
      <c r="E18" s="14" t="s">
        <v>41</v>
      </c>
      <c r="F18" s="23">
        <f ca="1">ROUND(2*(F16-$C$15)/$C$16,0)/2+F15</f>
        <v>5753.5</v>
      </c>
    </row>
    <row r="19" spans="1:21" ht="13.5" thickTop="1" x14ac:dyDescent="0.2">
      <c r="E19" s="14" t="s">
        <v>36</v>
      </c>
      <c r="F19" s="18">
        <f ca="1">+$C$15+$C$16*F18-15018.5-$C$5/24</f>
        <v>45308.829730249912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53</v>
      </c>
      <c r="J20" s="7" t="s">
        <v>54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38</v>
      </c>
    </row>
    <row r="21" spans="1:21" x14ac:dyDescent="0.2">
      <c r="A21" t="s">
        <v>46</v>
      </c>
      <c r="C21" s="8">
        <v>25702.3681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6.8218494268797336E-2</v>
      </c>
      <c r="Q21" s="2">
        <f>+C21-15018.5</f>
        <v>10683.8681</v>
      </c>
    </row>
    <row r="22" spans="1:21" x14ac:dyDescent="0.2">
      <c r="A22" s="55" t="s">
        <v>52</v>
      </c>
      <c r="B22" s="56" t="s">
        <v>49</v>
      </c>
      <c r="C22" s="57">
        <v>57099.970999999903</v>
      </c>
      <c r="D22" s="57">
        <v>4.0000000000000002E-4</v>
      </c>
      <c r="E22">
        <f>+(C22-C$7)/C$8</f>
        <v>62945.479319508027</v>
      </c>
      <c r="F22" s="47">
        <f>ROUND(2*E22,0)/2+6</f>
        <v>62951.5</v>
      </c>
      <c r="G22">
        <f>+C22-(C$7+F22*C$8)</f>
        <v>-3.0031534800946247</v>
      </c>
      <c r="K22">
        <f>+G22</f>
        <v>-3.0031534800946247</v>
      </c>
      <c r="O22">
        <f ca="1">+C$11+C$12*$F22</f>
        <v>-3.0016349893022611</v>
      </c>
      <c r="Q22" s="2">
        <f>+C22-15018.5</f>
        <v>42081.470999999903</v>
      </c>
    </row>
    <row r="23" spans="1:21" x14ac:dyDescent="0.2">
      <c r="A23" s="52" t="s">
        <v>51</v>
      </c>
      <c r="B23" s="53" t="s">
        <v>2</v>
      </c>
      <c r="C23" s="54">
        <v>57114.687449999998</v>
      </c>
      <c r="D23" s="54">
        <v>1E-4</v>
      </c>
      <c r="E23">
        <f>+(C23-C$7)/C$8</f>
        <v>62974.982654590254</v>
      </c>
      <c r="F23" s="47">
        <f>ROUND(2*E23,0)/2+6</f>
        <v>62981</v>
      </c>
      <c r="G23">
        <f>+C23-(C$7+F23*C$8)</f>
        <v>-3.0014899200032232</v>
      </c>
      <c r="K23">
        <f>+G23</f>
        <v>-3.0014899200032232</v>
      </c>
      <c r="O23">
        <f ca="1">+C$11+C$12*$F23</f>
        <v>-3.0030735678550413</v>
      </c>
      <c r="Q23" s="2">
        <f>+C23-15018.5</f>
        <v>42096.187449999998</v>
      </c>
    </row>
    <row r="24" spans="1:21" x14ac:dyDescent="0.2">
      <c r="A24" s="52" t="s">
        <v>51</v>
      </c>
      <c r="B24" s="53" t="s">
        <v>2</v>
      </c>
      <c r="C24" s="54">
        <v>57457.581619999997</v>
      </c>
      <c r="D24" s="54">
        <v>2.3999999999999998E-3</v>
      </c>
      <c r="E24">
        <f>+(C24-C$7)/C$8</f>
        <v>63662.412136237559</v>
      </c>
      <c r="F24" s="47">
        <f>ROUND(2*E24,0)/2+6</f>
        <v>63668.5</v>
      </c>
      <c r="G24">
        <f>+C24-(C$7+F24*C$8)</f>
        <v>-3.0366649200004758</v>
      </c>
      <c r="K24">
        <f>+G24</f>
        <v>-3.0366649200004758</v>
      </c>
      <c r="O24">
        <f ca="1">+C$11+C$12*$F24</f>
        <v>-3.0365997629410217</v>
      </c>
      <c r="Q24" s="2">
        <f>+C24-15018.5</f>
        <v>42439.081619999997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rotectedRanges>
    <protectedRange sqref="A24:D24" name="Range1"/>
  </protectedRanges>
  <phoneticPr fontId="7" type="noConversion"/>
  <hyperlinks>
    <hyperlink ref="H125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workbookViewId="0">
      <selection activeCell="B9" sqref="B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42</v>
      </c>
      <c r="G1" s="32">
        <v>0</v>
      </c>
      <c r="H1" s="33"/>
      <c r="I1" s="34" t="s">
        <v>43</v>
      </c>
      <c r="J1" s="35" t="s">
        <v>42</v>
      </c>
      <c r="K1" s="36">
        <v>12.351839999999999</v>
      </c>
      <c r="L1" s="37">
        <v>-62.391399999999997</v>
      </c>
      <c r="M1" s="38">
        <v>25702.3681</v>
      </c>
      <c r="N1" s="38">
        <v>0.49880632000000003</v>
      </c>
      <c r="O1" s="34" t="s">
        <v>44</v>
      </c>
    </row>
    <row r="2" spans="1:15" x14ac:dyDescent="0.2">
      <c r="A2" t="s">
        <v>28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5</v>
      </c>
      <c r="C4" s="27">
        <v>25702.3681</v>
      </c>
      <c r="D4" s="28">
        <v>0.49880632000000003</v>
      </c>
    </row>
    <row r="5" spans="1:15" ht="13.5" thickTop="1" x14ac:dyDescent="0.2">
      <c r="A5" s="9" t="s">
        <v>33</v>
      </c>
      <c r="B5" s="10"/>
      <c r="C5" s="11">
        <v>8</v>
      </c>
      <c r="D5" s="10" t="s">
        <v>34</v>
      </c>
      <c r="E5" s="10"/>
    </row>
    <row r="6" spans="1:15" x14ac:dyDescent="0.2">
      <c r="A6" s="5" t="s">
        <v>6</v>
      </c>
    </row>
    <row r="7" spans="1:15" x14ac:dyDescent="0.2">
      <c r="A7" t="s">
        <v>7</v>
      </c>
      <c r="C7" s="8">
        <f>M1</f>
        <v>25702.3681</v>
      </c>
      <c r="D7" s="34" t="s">
        <v>47</v>
      </c>
    </row>
    <row r="8" spans="1:15" x14ac:dyDescent="0.2">
      <c r="A8" t="s">
        <v>8</v>
      </c>
      <c r="C8" s="8">
        <f>N1</f>
        <v>0.49880632000000003</v>
      </c>
      <c r="D8" s="29" t="str">
        <f>D7</f>
        <v>Malkov</v>
      </c>
    </row>
    <row r="9" spans="1:15" x14ac:dyDescent="0.2">
      <c r="A9" s="24" t="s">
        <v>37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15" x14ac:dyDescent="0.2">
      <c r="A11" s="10" t="s">
        <v>20</v>
      </c>
      <c r="B11" s="10"/>
      <c r="C11" s="21">
        <f ca="1">INTERCEPT(INDIRECT($D$9):G991,INDIRECT($C$9):F991)</f>
        <v>2.5228559701459194E-4</v>
      </c>
      <c r="D11" s="3"/>
      <c r="E11" s="10"/>
    </row>
    <row r="12" spans="1:15" x14ac:dyDescent="0.2">
      <c r="A12" s="10" t="s">
        <v>21</v>
      </c>
      <c r="B12" s="10"/>
      <c r="C12" s="21">
        <f ca="1">SLOPE(INDIRECT($D$9):G991,INDIRECT($C$9):F991)</f>
        <v>-3.3654759337258172E-7</v>
      </c>
      <c r="D12" s="3"/>
      <c r="E12" s="10"/>
    </row>
    <row r="13" spans="1:15" x14ac:dyDescent="0.2">
      <c r="A13" s="10" t="s">
        <v>23</v>
      </c>
      <c r="B13" s="10"/>
      <c r="C13" s="3" t="s">
        <v>18</v>
      </c>
    </row>
    <row r="14" spans="1:15" x14ac:dyDescent="0.2">
      <c r="A14" s="10"/>
      <c r="B14" s="10"/>
      <c r="C14" s="10"/>
    </row>
    <row r="15" spans="1:15" x14ac:dyDescent="0.2">
      <c r="A15" s="12" t="s">
        <v>22</v>
      </c>
      <c r="B15" s="10"/>
      <c r="C15" s="13">
        <f ca="1">(C7+C11)+(C8+C12)*INT(MAX(F21:F3532))</f>
        <v>57457.354870832714</v>
      </c>
      <c r="E15" s="14" t="s">
        <v>39</v>
      </c>
      <c r="F15" s="39">
        <v>1</v>
      </c>
    </row>
    <row r="16" spans="1:15" x14ac:dyDescent="0.2">
      <c r="A16" s="16" t="s">
        <v>9</v>
      </c>
      <c r="B16" s="10"/>
      <c r="C16" s="17">
        <f ca="1">+C8+C12</f>
        <v>0.49880598345240668</v>
      </c>
      <c r="E16" s="14" t="s">
        <v>35</v>
      </c>
      <c r="F16" s="40">
        <f ca="1">NOW()+15018.5+$C$5/24</f>
        <v>60327.267379166668</v>
      </c>
    </row>
    <row r="17" spans="1:21" ht="13.5" thickBot="1" x14ac:dyDescent="0.25">
      <c r="A17" s="14" t="s">
        <v>32</v>
      </c>
      <c r="B17" s="10"/>
      <c r="C17" s="10">
        <f>COUNT(C21:C2190)</f>
        <v>4</v>
      </c>
      <c r="E17" s="14" t="s">
        <v>40</v>
      </c>
      <c r="F17" s="15">
        <f ca="1">ROUND(2*(F16-$C$7)/$C$8,0)/2+F15</f>
        <v>69416.5</v>
      </c>
    </row>
    <row r="18" spans="1:21" ht="14.25" thickTop="1" thickBot="1" x14ac:dyDescent="0.25">
      <c r="A18" s="16" t="s">
        <v>10</v>
      </c>
      <c r="B18" s="10"/>
      <c r="C18" s="19">
        <f ca="1">+C15</f>
        <v>57457.354870832714</v>
      </c>
      <c r="D18" s="20">
        <f ca="1">+C16</f>
        <v>0.49880598345240668</v>
      </c>
      <c r="E18" s="14" t="s">
        <v>41</v>
      </c>
      <c r="F18" s="23">
        <f ca="1">ROUND(2*(F16-$C$15)/$C$16,0)/2+F15</f>
        <v>5754.5</v>
      </c>
    </row>
    <row r="19" spans="1:21" ht="13.5" thickTop="1" x14ac:dyDescent="0.2">
      <c r="E19" s="14" t="s">
        <v>36</v>
      </c>
      <c r="F19" s="18">
        <f ca="1">+$C$15+$C$16*F18-15018.5-$C$5/24</f>
        <v>45308.900569276251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50</v>
      </c>
      <c r="J20" s="7" t="s">
        <v>1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38</v>
      </c>
    </row>
    <row r="21" spans="1:21" x14ac:dyDescent="0.2">
      <c r="A21" t="s">
        <v>46</v>
      </c>
      <c r="C21" s="8">
        <v>25702.3681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2.5228559701459194E-4</v>
      </c>
      <c r="Q21" s="2">
        <f>+C21-15018.5</f>
        <v>10683.8681</v>
      </c>
    </row>
    <row r="22" spans="1:21" ht="15" x14ac:dyDescent="0.2">
      <c r="A22" s="41" t="s">
        <v>48</v>
      </c>
      <c r="B22" s="42" t="s">
        <v>49</v>
      </c>
      <c r="C22" s="8">
        <v>57099.970999999998</v>
      </c>
      <c r="D22" s="43">
        <v>4.0000000000000002E-4</v>
      </c>
      <c r="E22">
        <f>+(C22-C$7)/C$8</f>
        <v>62945.479319508217</v>
      </c>
      <c r="F22">
        <f>ROUND(2*E22,0)/2</f>
        <v>62945.5</v>
      </c>
      <c r="G22">
        <f>+C22-(C$7+F22*C$8)</f>
        <v>-1.03155600008904E-2</v>
      </c>
      <c r="K22">
        <f>+G22</f>
        <v>-1.03155600008904E-2</v>
      </c>
      <c r="O22">
        <f ca="1">+C$11+C$12*$F22</f>
        <v>-2.093187094161925E-2</v>
      </c>
      <c r="Q22" s="2">
        <f>+C22-15018.5</f>
        <v>42081.470999999998</v>
      </c>
    </row>
    <row r="23" spans="1:21" x14ac:dyDescent="0.2">
      <c r="A23" s="44" t="s">
        <v>51</v>
      </c>
      <c r="B23" s="45" t="s">
        <v>2</v>
      </c>
      <c r="C23" s="46">
        <v>57114.687449999998</v>
      </c>
      <c r="D23" s="46">
        <v>1E-4</v>
      </c>
      <c r="E23">
        <f>+(C23-C$7)/C$8</f>
        <v>62974.982654590254</v>
      </c>
      <c r="F23">
        <f>ROUND(2*E23,0)/2</f>
        <v>62975</v>
      </c>
      <c r="G23">
        <f>+C23-(C$7+F23*C$8)</f>
        <v>-8.6520000040763989E-3</v>
      </c>
      <c r="K23">
        <f>+G23</f>
        <v>-8.6520000040763989E-3</v>
      </c>
      <c r="O23">
        <f ca="1">+C$11+C$12*$F23</f>
        <v>-2.0941799095623742E-2</v>
      </c>
      <c r="Q23" s="2">
        <f>+C23-15018.5</f>
        <v>42096.187449999998</v>
      </c>
    </row>
    <row r="24" spans="1:21" x14ac:dyDescent="0.2">
      <c r="A24" s="44" t="s">
        <v>51</v>
      </c>
      <c r="B24" s="45" t="s">
        <v>2</v>
      </c>
      <c r="C24" s="46">
        <v>57457.581619999997</v>
      </c>
      <c r="D24" s="46">
        <v>2.3999999999999998E-3</v>
      </c>
      <c r="E24">
        <f>+(C24-C$7)/C$8</f>
        <v>63662.412136237559</v>
      </c>
      <c r="F24">
        <f>ROUND(2*E24,0)/2</f>
        <v>63662.5</v>
      </c>
      <c r="G24">
        <f>+C24-(C$7+F24*C$8)</f>
        <v>-4.3827000001328997E-2</v>
      </c>
      <c r="K24">
        <f>+G24</f>
        <v>-4.3827000001328997E-2</v>
      </c>
      <c r="O24">
        <f ca="1">+C$11+C$12*$F24</f>
        <v>-2.1173175566067393E-2</v>
      </c>
      <c r="Q24" s="2">
        <f>+C24-15018.5</f>
        <v>42439.081619999997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heetProtection sheet="1"/>
  <phoneticPr fontId="7" type="noConversion"/>
  <hyperlinks>
    <hyperlink ref="H1253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2024-01-16T23:55:01Z</dcterms:modified>
</cp:coreProperties>
</file>