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6AC40AA7-FFA6-47B3-9FEE-459E3C5E67D5}" xr6:coauthVersionLast="47" xr6:coauthVersionMax="47" xr10:uidLastSave="{00000000-0000-0000-0000-000000000000}"/>
  <bookViews>
    <workbookView xWindow="13545" yWindow="1335" windowWidth="12975" windowHeight="14640" xr2:uid="{00000000-000D-0000-FFFF-FFFF00000000}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0" i="1" l="1"/>
  <c r="F50" i="1" s="1"/>
  <c r="G50" i="1" s="1"/>
  <c r="K50" i="1" s="1"/>
  <c r="N50" i="1"/>
  <c r="E51" i="1"/>
  <c r="F51" i="1" s="1"/>
  <c r="G51" i="1" s="1"/>
  <c r="K51" i="1" s="1"/>
  <c r="N51" i="1"/>
  <c r="E52" i="1"/>
  <c r="F52" i="1"/>
  <c r="G52" i="1"/>
  <c r="K52" i="1" s="1"/>
  <c r="N52" i="1"/>
  <c r="E44" i="1"/>
  <c r="F44" i="1"/>
  <c r="N49" i="1"/>
  <c r="N48" i="1"/>
  <c r="E38" i="1"/>
  <c r="F38" i="1"/>
  <c r="D9" i="1"/>
  <c r="C9" i="1"/>
  <c r="N38" i="1"/>
  <c r="C7" i="1"/>
  <c r="E49" i="1"/>
  <c r="F49" i="1"/>
  <c r="C8" i="1"/>
  <c r="E26" i="1"/>
  <c r="F26" i="1"/>
  <c r="E23" i="1"/>
  <c r="F23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44" i="1"/>
  <c r="N45" i="1"/>
  <c r="G18" i="2"/>
  <c r="C18" i="2"/>
  <c r="G17" i="2"/>
  <c r="C17" i="2"/>
  <c r="G37" i="2"/>
  <c r="C37" i="2"/>
  <c r="G36" i="2"/>
  <c r="C36" i="2"/>
  <c r="E36" i="2"/>
  <c r="G16" i="2"/>
  <c r="C16" i="2"/>
  <c r="G15" i="2"/>
  <c r="C15" i="2"/>
  <c r="G14" i="2"/>
  <c r="C14" i="2"/>
  <c r="G13" i="2"/>
  <c r="C13" i="2"/>
  <c r="G12" i="2"/>
  <c r="C12" i="2"/>
  <c r="G35" i="2"/>
  <c r="C35" i="2"/>
  <c r="E35" i="2"/>
  <c r="G11" i="2"/>
  <c r="C11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E24" i="2"/>
  <c r="G23" i="2"/>
  <c r="C23" i="2"/>
  <c r="G22" i="2"/>
  <c r="C22" i="2"/>
  <c r="G21" i="2"/>
  <c r="C21" i="2"/>
  <c r="E21" i="2"/>
  <c r="G20" i="2"/>
  <c r="C20" i="2"/>
  <c r="G19" i="2"/>
  <c r="C19" i="2"/>
  <c r="H18" i="2"/>
  <c r="D18" i="2"/>
  <c r="B18" i="2"/>
  <c r="A18" i="2"/>
  <c r="H17" i="2"/>
  <c r="D17" i="2"/>
  <c r="B17" i="2"/>
  <c r="A17" i="2"/>
  <c r="H37" i="2"/>
  <c r="D37" i="2"/>
  <c r="B37" i="2"/>
  <c r="A37" i="2"/>
  <c r="H36" i="2"/>
  <c r="D36" i="2"/>
  <c r="B36" i="2"/>
  <c r="A36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35" i="2"/>
  <c r="D35" i="2"/>
  <c r="B35" i="2"/>
  <c r="A35" i="2"/>
  <c r="H11" i="2"/>
  <c r="D11" i="2"/>
  <c r="B11" i="2"/>
  <c r="A11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N47" i="1"/>
  <c r="F16" i="1"/>
  <c r="F17" i="1" s="1"/>
  <c r="N46" i="1"/>
  <c r="N43" i="1"/>
  <c r="N42" i="1"/>
  <c r="N41" i="1"/>
  <c r="N39" i="1"/>
  <c r="N40" i="1"/>
  <c r="C17" i="1"/>
  <c r="N37" i="1"/>
  <c r="E17" i="2"/>
  <c r="E15" i="2"/>
  <c r="E16" i="2"/>
  <c r="E11" i="2"/>
  <c r="E35" i="1"/>
  <c r="F35" i="1"/>
  <c r="E36" i="1"/>
  <c r="F36" i="1"/>
  <c r="E42" i="1"/>
  <c r="F42" i="1"/>
  <c r="G43" i="1"/>
  <c r="J43" i="1"/>
  <c r="E31" i="1"/>
  <c r="F31" i="1"/>
  <c r="G31" i="1"/>
  <c r="H31" i="1"/>
  <c r="E33" i="1"/>
  <c r="F33" i="1"/>
  <c r="G33" i="1"/>
  <c r="H33" i="1"/>
  <c r="E41" i="1"/>
  <c r="F41" i="1"/>
  <c r="G48" i="1"/>
  <c r="K48" i="1"/>
  <c r="E46" i="1"/>
  <c r="F46" i="1"/>
  <c r="G46" i="1"/>
  <c r="J46" i="1"/>
  <c r="E21" i="1"/>
  <c r="F21" i="1"/>
  <c r="G21" i="1"/>
  <c r="H21" i="1"/>
  <c r="E28" i="1"/>
  <c r="F28" i="1"/>
  <c r="G28" i="1"/>
  <c r="H28" i="1"/>
  <c r="E40" i="1"/>
  <c r="F40" i="1"/>
  <c r="G40" i="1"/>
  <c r="K40" i="1"/>
  <c r="E43" i="1"/>
  <c r="F43" i="1"/>
  <c r="E34" i="1"/>
  <c r="F34" i="1"/>
  <c r="G34" i="1"/>
  <c r="H34" i="1"/>
  <c r="E24" i="1"/>
  <c r="F24" i="1"/>
  <c r="G24" i="1"/>
  <c r="H24" i="1"/>
  <c r="E39" i="1"/>
  <c r="F39" i="1"/>
  <c r="G39" i="1"/>
  <c r="K39" i="1"/>
  <c r="E48" i="1"/>
  <c r="F48" i="1"/>
  <c r="G42" i="1"/>
  <c r="J42" i="1"/>
  <c r="E27" i="1"/>
  <c r="F27" i="1"/>
  <c r="G27" i="1"/>
  <c r="H27" i="1"/>
  <c r="G29" i="1"/>
  <c r="H29" i="1"/>
  <c r="E30" i="1"/>
  <c r="F30" i="1"/>
  <c r="G30" i="1"/>
  <c r="H30" i="1"/>
  <c r="E45" i="1"/>
  <c r="F45" i="1"/>
  <c r="G45" i="1"/>
  <c r="K45" i="1"/>
  <c r="G49" i="1"/>
  <c r="K49" i="1"/>
  <c r="G37" i="1"/>
  <c r="H37" i="1"/>
  <c r="G23" i="1"/>
  <c r="H23" i="1"/>
  <c r="E22" i="1"/>
  <c r="F22" i="1"/>
  <c r="G22" i="1"/>
  <c r="H22" i="1"/>
  <c r="G26" i="1"/>
  <c r="H26" i="1"/>
  <c r="E25" i="1"/>
  <c r="G38" i="1"/>
  <c r="G44" i="1"/>
  <c r="K44" i="1"/>
  <c r="G41" i="1"/>
  <c r="K41" i="1"/>
  <c r="E37" i="1"/>
  <c r="F37" i="1"/>
  <c r="G35" i="1"/>
  <c r="H35" i="1"/>
  <c r="E32" i="1"/>
  <c r="F32" i="1"/>
  <c r="G32" i="1"/>
  <c r="H32" i="1"/>
  <c r="G36" i="1"/>
  <c r="H36" i="1"/>
  <c r="E29" i="1"/>
  <c r="F29" i="1"/>
  <c r="E47" i="1"/>
  <c r="F47" i="1"/>
  <c r="G47" i="1"/>
  <c r="J47" i="1"/>
  <c r="E22" i="2"/>
  <c r="E33" i="2"/>
  <c r="F25" i="1"/>
  <c r="G25" i="1"/>
  <c r="H25" i="1"/>
  <c r="E23" i="2"/>
  <c r="E28" i="2"/>
  <c r="E20" i="2"/>
  <c r="E37" i="2"/>
  <c r="E18" i="2"/>
  <c r="E12" i="2"/>
  <c r="E34" i="2"/>
  <c r="E13" i="2"/>
  <c r="E30" i="2"/>
  <c r="E32" i="2"/>
  <c r="E19" i="2"/>
  <c r="E27" i="2"/>
  <c r="E25" i="2"/>
  <c r="E26" i="2"/>
  <c r="J38" i="1"/>
  <c r="E29" i="2"/>
  <c r="E14" i="2"/>
  <c r="E31" i="2"/>
  <c r="C12" i="1"/>
  <c r="C11" i="1"/>
  <c r="L52" i="1" l="1"/>
  <c r="L51" i="1"/>
  <c r="L50" i="1"/>
  <c r="L24" i="1"/>
  <c r="L21" i="1"/>
  <c r="L37" i="1"/>
  <c r="L34" i="1"/>
  <c r="L29" i="1"/>
  <c r="L30" i="1"/>
  <c r="L25" i="1"/>
  <c r="L49" i="1"/>
  <c r="L35" i="1"/>
  <c r="L44" i="1"/>
  <c r="L39" i="1"/>
  <c r="L48" i="1"/>
  <c r="L31" i="1"/>
  <c r="L45" i="1"/>
  <c r="L47" i="1"/>
  <c r="C15" i="1"/>
  <c r="L32" i="1"/>
  <c r="L27" i="1"/>
  <c r="L33" i="1"/>
  <c r="L43" i="1"/>
  <c r="L40" i="1"/>
  <c r="L23" i="1"/>
  <c r="L42" i="1"/>
  <c r="L22" i="1"/>
  <c r="L38" i="1"/>
  <c r="L46" i="1"/>
  <c r="L28" i="1"/>
  <c r="L41" i="1"/>
  <c r="L26" i="1"/>
  <c r="L36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<sst xmlns="http://schemas.openxmlformats.org/spreadsheetml/2006/main" count="337" uniqueCount="191">
  <si>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</si>
  <si>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</si>
  <si>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</si>
  <si>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</si>
  <si>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</si>
  <si>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</si>
  <si>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</si>
  <si>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</si>
  <si>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</si>
  <si>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</si>
  <si>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</si>
  <si>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</si>
  <si>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</si>
  <si>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</si>
  <si>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</si>
  <si>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</si>
  <si>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</si>
  <si>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</si>
  <si>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</si>
  <si>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</si>
  <si>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</si>
  <si>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</si>
  <si>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</si>
  <si>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</si>
  <si>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</si>
  <si>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</si>
  <si>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</si>
  <si>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EA</t>
  </si>
  <si>
    <t>Sp:  B3</t>
  </si>
  <si>
    <t>IBVS 5206</t>
  </si>
  <si>
    <t>IBVS 4967</t>
  </si>
  <si>
    <t>IBVS 4633</t>
  </si>
  <si>
    <t># of data points:</t>
  </si>
  <si>
    <t>DL Cyg / GSC 03595-01938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</si>
  <si>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</si>
  <si>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</si>
  <si>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</si>
  <si>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</si>
  <si>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</si>
  <si>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</si>
  <si>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I</t>
  </si>
  <si>
    <t>IBVS 5802</t>
  </si>
  <si>
    <t>II</t>
  </si>
  <si>
    <t>IBVS 6118</t>
  </si>
  <si>
    <t>Add cycle</t>
  </si>
  <si>
    <t>Old Cycle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</si>
  <si>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</si>
  <si>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</si>
  <si>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</si>
  <si>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</si>
  <si>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</si>
  <si>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</si>
  <si>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</si>
  <si>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</si>
  <si>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</si>
  <si>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</si>
  <si>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</si>
  <si>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</si>
  <si>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</si>
  <si>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2415617.342 </t>
  </si>
  <si>
    <t> 20.08.1901 20:12 </t>
  </si>
  <si>
    <t> 0.155 </t>
  </si>
  <si>
    <t> B.W.Kukarkin </t>
  </si>
  <si>
    <t> PZ 3.52 </t>
  </si>
  <si>
    <t>2423597.030 </t>
  </si>
  <si>
    <t> 26.06.1923 12:43 </t>
  </si>
  <si>
    <t> 0.041 </t>
  </si>
  <si>
    <t> NNVS 29/30 </t>
  </si>
  <si>
    <t>2424616.35 </t>
  </si>
  <si>
    <t> 10.04.1926 20:24 </t>
  </si>
  <si>
    <t> 0.15 </t>
  </si>
  <si>
    <t>P </t>
  </si>
  <si>
    <t> S.Nekrasova </t>
  </si>
  <si>
    <t> PZ 5.184 </t>
  </si>
  <si>
    <t>2424775.597 </t>
  </si>
  <si>
    <t> 17.09.1926 02:19 </t>
  </si>
  <si>
    <t> -0.007 </t>
  </si>
  <si>
    <t> Guthnick &amp; Prager </t>
  </si>
  <si>
    <t> KVBB 4.10 </t>
  </si>
  <si>
    <t>2425094.458 </t>
  </si>
  <si>
    <t> 01.08.1927 22:59 </t>
  </si>
  <si>
    <t> 0.048 </t>
  </si>
  <si>
    <t>V </t>
  </si>
  <si>
    <t> W.Zessewitsch </t>
  </si>
  <si>
    <t> AAC 1.118 </t>
  </si>
  <si>
    <t>2425123.390 </t>
  </si>
  <si>
    <t> 30.08.1927 21:21 </t>
  </si>
  <si>
    <t> -0.002 </t>
  </si>
  <si>
    <t> M.Beyer </t>
  </si>
  <si>
    <t> AN 235.303 </t>
  </si>
  <si>
    <t>2425176.46 </t>
  </si>
  <si>
    <t> 22.10.1927 23:02 </t>
  </si>
  <si>
    <t> -0.07 </t>
  </si>
  <si>
    <t>2425437.40 </t>
  </si>
  <si>
    <t> 09.07.1928 21:36 </t>
  </si>
  <si>
    <t> 0.03 </t>
  </si>
  <si>
    <t> J.Mergentaler </t>
  </si>
  <si>
    <t> AAC 1.119 </t>
  </si>
  <si>
    <t>2425524.300 </t>
  </si>
  <si>
    <t> 04.10.1928 19:12 </t>
  </si>
  <si>
    <t> -0.014 </t>
  </si>
  <si>
    <t> E.Woodward </t>
  </si>
  <si>
    <t> HB 917.7 </t>
  </si>
  <si>
    <t>2425524.314 </t>
  </si>
  <si>
    <t> 04.10.1928 19:32 </t>
  </si>
  <si>
    <t> -0.000 </t>
  </si>
  <si>
    <t>2429397.960 </t>
  </si>
  <si>
    <t> 14.05.1939 11:02 </t>
  </si>
  <si>
    <t> -0.326 </t>
  </si>
  <si>
    <t> I.M.Istchenko </t>
  </si>
  <si>
    <t> TTAO 9.32 </t>
  </si>
  <si>
    <t>2429422.493 </t>
  </si>
  <si>
    <t> 07.06.1939 23:49 </t>
  </si>
  <si>
    <t> 0.055 </t>
  </si>
  <si>
    <t>2429972.810 </t>
  </si>
  <si>
    <t> 09.12.1940 07:26 </t>
  </si>
  <si>
    <t> -0.293 </t>
  </si>
  <si>
    <t> S.Gaposchkin </t>
  </si>
  <si>
    <t> HA 113.73 </t>
  </si>
  <si>
    <t>2434139.401 </t>
  </si>
  <si>
    <t> 06.05.1952 21:37 </t>
  </si>
  <si>
    <t> 0.088 </t>
  </si>
  <si>
    <t>2434238.439 </t>
  </si>
  <si>
    <t> 13.08.1952 22:32 </t>
  </si>
  <si>
    <t> 0.103 </t>
  </si>
  <si>
    <t>2437542.331 </t>
  </si>
  <si>
    <t> 30.08.1961 19:56 </t>
  </si>
  <si>
    <t> 0.009 </t>
  </si>
  <si>
    <t> P.Ahnert </t>
  </si>
  <si>
    <t> MVS 706 </t>
  </si>
  <si>
    <t>2444087.499 </t>
  </si>
  <si>
    <t> 01.08.1979 23:58 </t>
  </si>
  <si>
    <t> 0.000 </t>
  </si>
  <si>
    <t>E </t>
  </si>
  <si>
    <t>?</t>
  </si>
  <si>
    <t> R.Diethelm </t>
  </si>
  <si>
    <t> BBS 44 </t>
  </si>
  <si>
    <t>2451038.485 </t>
  </si>
  <si>
    <t> 12.08.1998 23:38 </t>
  </si>
  <si>
    <t> 0.056 </t>
  </si>
  <si>
    <t> T.Borkovits </t>
  </si>
  <si>
    <t>IBVS 4633/4653 </t>
  </si>
  <si>
    <t>2451113.371 </t>
  </si>
  <si>
    <t> 26.10.1998 20:54 </t>
  </si>
  <si>
    <t> 0.071 </t>
  </si>
  <si>
    <t> I.Biro </t>
  </si>
  <si>
    <t>IBVS 4967 </t>
  </si>
  <si>
    <t>2451381.450 </t>
  </si>
  <si>
    <t> 21.07.1999 22:48 </t>
  </si>
  <si>
    <t> 0.064 </t>
  </si>
  <si>
    <t>2451840.3356 </t>
  </si>
  <si>
    <t> 22.10.2000 20:03 </t>
  </si>
  <si>
    <t> 0.0624 </t>
  </si>
  <si>
    <t>IBVS 5206 </t>
  </si>
  <si>
    <t>2453999.5466 </t>
  </si>
  <si>
    <t> 21.09.2006 01:07 </t>
  </si>
  <si>
    <t> 0.0896 </t>
  </si>
  <si>
    <t>C </t>
  </si>
  <si>
    <t>-I</t>
  </si>
  <si>
    <t> K.&amp; M.Rätz </t>
  </si>
  <si>
    <t>BAVM 186 </t>
  </si>
  <si>
    <t>2454062.3438 </t>
  </si>
  <si>
    <t> 22.11.2006 20:15 </t>
  </si>
  <si>
    <t>2065</t>
  </si>
  <si>
    <t> 0.0917 </t>
  </si>
  <si>
    <t> F. Agerer </t>
  </si>
  <si>
    <t>BAVM 183 </t>
  </si>
  <si>
    <t>2455081.5687 </t>
  </si>
  <si>
    <t> 07.09.2009 01:38 </t>
  </si>
  <si>
    <t>2276</t>
  </si>
  <si>
    <t> 0.1046 </t>
  </si>
  <si>
    <t> F.Agerer </t>
  </si>
  <si>
    <t>BAVM 212 </t>
  </si>
  <si>
    <t>2455098.4811 </t>
  </si>
  <si>
    <t> 23.09.2009 23:32 </t>
  </si>
  <si>
    <t>2279.5</t>
  </si>
  <si>
    <t> 0.1106 </t>
  </si>
  <si>
    <t>2456540.3677 </t>
  </si>
  <si>
    <t> 04.09.2013 20:49 </t>
  </si>
  <si>
    <t>2578</t>
  </si>
  <si>
    <t> 0.1261 </t>
  </si>
  <si>
    <t>BAVM 234 </t>
  </si>
  <si>
    <t>2456907.4779 </t>
  </si>
  <si>
    <t> 06.09.2014 23:28 </t>
  </si>
  <si>
    <t>2654</t>
  </si>
  <si>
    <t> 0.1268 </t>
  </si>
  <si>
    <t>BAVM 239 </t>
  </si>
  <si>
    <t>BAD?</t>
  </si>
  <si>
    <t>Start of linear fit &gt;&gt;&gt;&gt;&gt;&gt;&gt;&gt;&gt;&gt;&gt;&gt;&gt;&gt;&gt;&gt;&gt;&gt;&gt;&gt;&gt;</t>
  </si>
  <si>
    <t>JBAV, 60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</si>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</sst>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7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6" fillId="0" borderId="0" xfId="0" applyFont="1" applyAlignment="1">
      <alignment horizontal="left"/>
    </xf>
    <xf numFmtId="0" fontId="5" fillId="0" borderId="0" xfId="0" applyFont="1">
      <alignment vertical="top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left"/>
    </xf>
    <xf numFmtId="0" fontId="8" fillId="0" borderId="0" xfId="0" applyFont="1" applyAlignment="1"/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5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5" fillId="24" borderId="17" xfId="38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10" xfId="0" applyFont="1" applyBorder="1" applyAlignment="1">
      <alignment horizontal="center"/>
    </xf>
    <xf numFmtId="0" fontId="19" fillId="0" borderId="0" xfId="0" applyFont="1">
      <alignment vertical="top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3" fillId="0" borderId="0" xfId="42" applyFont="1" applyAlignment="1">
      <alignment wrapText="1"/>
    </xf>
    <xf numFmtId="0" fontId="13" fillId="0" borderId="0" xfId="42" applyFont="1" applyAlignment="1">
      <alignment horizontal="center" wrapText="1"/>
    </xf>
    <xf numFmtId="0" fontId="13" fillId="0" borderId="0" xfId="42" applyFont="1" applyAlignment="1">
      <alignment horizontal="left" wrapText="1"/>
    </xf>
    <xf numFmtId="0" fontId="35" fillId="0" borderId="0" xfId="43" applyFont="1" applyAlignment="1">
      <alignment horizontal="left"/>
    </xf>
    <xf numFmtId="0" fontId="35" fillId="0" borderId="0" xfId="43" applyFont="1" applyAlignment="1">
      <alignment horizontal="left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5" fontId="37" fillId="0" borderId="0" xfId="0" applyNumberFormat="1" applyFont="1" applyAlignment="1">
      <alignment vertical="center" wrapText="1"/>
    </xf>
    <xf numFmtId="0" fontId="37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DL Cyg - O-C Diagr.</a:t>
            </a:r>
          </a:p>
        </c:rich>
      </c:tx>
      <c:layout>
        <c:manualLayout>
          <c:xMode val="edge"/>
          <c:yMode val="edge"/>
          <c:x val="0.38297904251330284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5966920033869"/>
          <c:y val="0.14501531966242162"/>
          <c:w val="0.82978784980220144"/>
          <c:h val="0.6344420235230945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Active!$F$21:$F$28</c:f>
              <c:numCache>
                <c:formatCode>General</c:formatCode>
                <c:ptCount val="8"/>
                <c:pt idx="0">
                  <c:v>-5894</c:v>
                </c:pt>
                <c:pt idx="1">
                  <c:v>-4242</c:v>
                </c:pt>
                <c:pt idx="2">
                  <c:v>-4031</c:v>
                </c:pt>
                <c:pt idx="3">
                  <c:v>-3998</c:v>
                </c:pt>
                <c:pt idx="4">
                  <c:v>-3932</c:v>
                </c:pt>
                <c:pt idx="5">
                  <c:v>-3926</c:v>
                </c:pt>
                <c:pt idx="6">
                  <c:v>-3915</c:v>
                </c:pt>
                <c:pt idx="7">
                  <c:v>-3861</c:v>
                </c:pt>
              </c:numCache>
            </c:numRef>
          </c:xVal>
          <c:yVal>
            <c:numRef>
              <c:f>Active!$H$21:$H$27</c:f>
              <c:numCache>
                <c:formatCode>General</c:formatCode>
                <c:ptCount val="7"/>
                <c:pt idx="0">
                  <c:v>0.15517659999750322</c:v>
                </c:pt>
                <c:pt idx="1">
                  <c:v>4.0713799993682187E-2</c:v>
                </c:pt>
                <c:pt idx="2">
                  <c:v>0.14865589999681106</c:v>
                </c:pt>
                <c:pt idx="3">
                  <c:v>-7.1778000019548927E-3</c:v>
                </c:pt>
                <c:pt idx="4">
                  <c:v>4.8154799995245412E-2</c:v>
                </c:pt>
                <c:pt idx="5">
                  <c:v>-2.1786000033898745E-3</c:v>
                </c:pt>
                <c:pt idx="6">
                  <c:v>-6.6456500004278496E-2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64-4D34-8520-10ACB3AAFA2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</c:numCache>
              </c:numRef>
            </c:plus>
            <c:minus>
              <c:numRef>
                <c:f>Active!$D$21:$D$38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Active!$F$21:$F$47</c:f>
              <c:numCache>
                <c:formatCode>General</c:formatCode>
                <c:ptCount val="27"/>
                <c:pt idx="0">
                  <c:v>-5894</c:v>
                </c:pt>
                <c:pt idx="1">
                  <c:v>-4242</c:v>
                </c:pt>
                <c:pt idx="2">
                  <c:v>-4031</c:v>
                </c:pt>
                <c:pt idx="3">
                  <c:v>-3998</c:v>
                </c:pt>
                <c:pt idx="4">
                  <c:v>-3932</c:v>
                </c:pt>
                <c:pt idx="5">
                  <c:v>-3926</c:v>
                </c:pt>
                <c:pt idx="6">
                  <c:v>-3915</c:v>
                </c:pt>
                <c:pt idx="7">
                  <c:v>-3861</c:v>
                </c:pt>
                <c:pt idx="8">
                  <c:v>-3843</c:v>
                </c:pt>
                <c:pt idx="9">
                  <c:v>-3843</c:v>
                </c:pt>
                <c:pt idx="10">
                  <c:v>-3041</c:v>
                </c:pt>
                <c:pt idx="11">
                  <c:v>-3036</c:v>
                </c:pt>
                <c:pt idx="12">
                  <c:v>-2922</c:v>
                </c:pt>
                <c:pt idx="13">
                  <c:v>-2059.5</c:v>
                </c:pt>
                <c:pt idx="14">
                  <c:v>-2039</c:v>
                </c:pt>
                <c:pt idx="15">
                  <c:v>-1355</c:v>
                </c:pt>
                <c:pt idx="16">
                  <c:v>0</c:v>
                </c:pt>
                <c:pt idx="17">
                  <c:v>1439</c:v>
                </c:pt>
                <c:pt idx="18">
                  <c:v>1439</c:v>
                </c:pt>
                <c:pt idx="19">
                  <c:v>1510</c:v>
                </c:pt>
                <c:pt idx="20">
                  <c:v>1605</c:v>
                </c:pt>
                <c:pt idx="21">
                  <c:v>2052</c:v>
                </c:pt>
                <c:pt idx="22">
                  <c:v>2065</c:v>
                </c:pt>
                <c:pt idx="23">
                  <c:v>2276</c:v>
                </c:pt>
                <c:pt idx="24">
                  <c:v>2279.5</c:v>
                </c:pt>
                <c:pt idx="25">
                  <c:v>2578</c:v>
                </c:pt>
                <c:pt idx="26">
                  <c:v>2654</c:v>
                </c:pt>
              </c:numCache>
            </c:numRef>
          </c:xVal>
          <c:yVal>
            <c:numRef>
              <c:f>Active!$I$21:$I$47</c:f>
              <c:numCache>
                <c:formatCode>General</c:formatCode>
                <c:ptCount val="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64-4D34-8520-10ACB3AAFA2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5.0000000000000001E-3</c:v>
                  </c:pt>
                  <c:pt idx="19">
                    <c:v>1E-3</c:v>
                  </c:pt>
                  <c:pt idx="20">
                    <c:v>5.9999999999999995E-4</c:v>
                  </c:pt>
                  <c:pt idx="21">
                    <c:v>1E-3</c:v>
                  </c:pt>
                  <c:pt idx="22">
                    <c:v>2.0999999999999999E-3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2E-3</c:v>
                  </c:pt>
                  <c:pt idx="26">
                    <c:v>3.2399999999999998E-2</c:v>
                  </c:pt>
                </c:numCache>
              </c:numRef>
            </c:plus>
            <c:minus>
              <c:numRef>
                <c:f>Active!$D$21:$D$47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5.0000000000000001E-3</c:v>
                  </c:pt>
                  <c:pt idx="19">
                    <c:v>1E-3</c:v>
                  </c:pt>
                  <c:pt idx="20">
                    <c:v>5.9999999999999995E-4</c:v>
                  </c:pt>
                  <c:pt idx="21">
                    <c:v>1E-3</c:v>
                  </c:pt>
                  <c:pt idx="22">
                    <c:v>2.0999999999999999E-3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2E-3</c:v>
                  </c:pt>
                  <c:pt idx="26">
                    <c:v>3.2399999999999998E-2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Active!$F$21:$F$47</c:f>
              <c:numCache>
                <c:formatCode>General</c:formatCode>
                <c:ptCount val="27"/>
                <c:pt idx="0">
                  <c:v>-5894</c:v>
                </c:pt>
                <c:pt idx="1">
                  <c:v>-4242</c:v>
                </c:pt>
                <c:pt idx="2">
                  <c:v>-4031</c:v>
                </c:pt>
                <c:pt idx="3">
                  <c:v>-3998</c:v>
                </c:pt>
                <c:pt idx="4">
                  <c:v>-3932</c:v>
                </c:pt>
                <c:pt idx="5">
                  <c:v>-3926</c:v>
                </c:pt>
                <c:pt idx="6">
                  <c:v>-3915</c:v>
                </c:pt>
                <c:pt idx="7">
                  <c:v>-3861</c:v>
                </c:pt>
                <c:pt idx="8">
                  <c:v>-3843</c:v>
                </c:pt>
                <c:pt idx="9">
                  <c:v>-3843</c:v>
                </c:pt>
                <c:pt idx="10">
                  <c:v>-3041</c:v>
                </c:pt>
                <c:pt idx="11">
                  <c:v>-3036</c:v>
                </c:pt>
                <c:pt idx="12">
                  <c:v>-2922</c:v>
                </c:pt>
                <c:pt idx="13">
                  <c:v>-2059.5</c:v>
                </c:pt>
                <c:pt idx="14">
                  <c:v>-2039</c:v>
                </c:pt>
                <c:pt idx="15">
                  <c:v>-1355</c:v>
                </c:pt>
                <c:pt idx="16">
                  <c:v>0</c:v>
                </c:pt>
                <c:pt idx="17">
                  <c:v>1439</c:v>
                </c:pt>
                <c:pt idx="18">
                  <c:v>1439</c:v>
                </c:pt>
                <c:pt idx="19">
                  <c:v>1510</c:v>
                </c:pt>
                <c:pt idx="20">
                  <c:v>1605</c:v>
                </c:pt>
                <c:pt idx="21">
                  <c:v>2052</c:v>
                </c:pt>
                <c:pt idx="22">
                  <c:v>2065</c:v>
                </c:pt>
                <c:pt idx="23">
                  <c:v>2276</c:v>
                </c:pt>
                <c:pt idx="24">
                  <c:v>2279.5</c:v>
                </c:pt>
                <c:pt idx="25">
                  <c:v>2578</c:v>
                </c:pt>
                <c:pt idx="26">
                  <c:v>2654</c:v>
                </c:pt>
              </c:numCache>
            </c:numRef>
          </c:xVal>
          <c:yVal>
            <c:numRef>
              <c:f>Active!$J$21:$J$47</c:f>
              <c:numCache>
                <c:formatCode>General</c:formatCode>
                <c:ptCount val="27"/>
                <c:pt idx="17">
                  <c:v>5.8372899999085348E-2</c:v>
                </c:pt>
                <c:pt idx="21">
                  <c:v>8.9577200000348967E-2</c:v>
                </c:pt>
                <c:pt idx="22">
                  <c:v>9.1721500000858214E-2</c:v>
                </c:pt>
                <c:pt idx="25">
                  <c:v>0.12611579999793321</c:v>
                </c:pt>
                <c:pt idx="26">
                  <c:v>0.12675939999462571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64-4D34-8520-10ACB3AAFA2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Active!$F$21:$F$47</c:f>
              <c:numCache>
                <c:formatCode>General</c:formatCode>
                <c:ptCount val="27"/>
                <c:pt idx="0">
                  <c:v>-5894</c:v>
                </c:pt>
                <c:pt idx="1">
                  <c:v>-4242</c:v>
                </c:pt>
                <c:pt idx="2">
                  <c:v>-4031</c:v>
                </c:pt>
                <c:pt idx="3">
                  <c:v>-3998</c:v>
                </c:pt>
                <c:pt idx="4">
                  <c:v>-3932</c:v>
                </c:pt>
                <c:pt idx="5">
                  <c:v>-3926</c:v>
                </c:pt>
                <c:pt idx="6">
                  <c:v>-3915</c:v>
                </c:pt>
                <c:pt idx="7">
                  <c:v>-3861</c:v>
                </c:pt>
                <c:pt idx="8">
                  <c:v>-3843</c:v>
                </c:pt>
                <c:pt idx="9">
                  <c:v>-3843</c:v>
                </c:pt>
                <c:pt idx="10">
                  <c:v>-3041</c:v>
                </c:pt>
                <c:pt idx="11">
                  <c:v>-3036</c:v>
                </c:pt>
                <c:pt idx="12">
                  <c:v>-2922</c:v>
                </c:pt>
                <c:pt idx="13">
                  <c:v>-2059.5</c:v>
                </c:pt>
                <c:pt idx="14">
                  <c:v>-2039</c:v>
                </c:pt>
                <c:pt idx="15">
                  <c:v>-1355</c:v>
                </c:pt>
                <c:pt idx="16">
                  <c:v>0</c:v>
                </c:pt>
                <c:pt idx="17">
                  <c:v>1439</c:v>
                </c:pt>
                <c:pt idx="18">
                  <c:v>1439</c:v>
                </c:pt>
                <c:pt idx="19">
                  <c:v>1510</c:v>
                </c:pt>
                <c:pt idx="20">
                  <c:v>1605</c:v>
                </c:pt>
                <c:pt idx="21">
                  <c:v>2052</c:v>
                </c:pt>
                <c:pt idx="22">
                  <c:v>2065</c:v>
                </c:pt>
                <c:pt idx="23">
                  <c:v>2276</c:v>
                </c:pt>
                <c:pt idx="24">
                  <c:v>2279.5</c:v>
                </c:pt>
                <c:pt idx="25">
                  <c:v>2578</c:v>
                </c:pt>
                <c:pt idx="26">
                  <c:v>2654</c:v>
                </c:pt>
              </c:numCache>
            </c:numRef>
          </c:xVal>
          <c:yVal>
            <c:numRef>
              <c:f>Active!$K$21:$K$47</c:f>
              <c:numCache>
                <c:formatCode>General</c:formatCode>
                <c:ptCount val="27"/>
                <c:pt idx="18">
                  <c:v>5.8372899999085348E-2</c:v>
                </c:pt>
                <c:pt idx="19">
                  <c:v>6.3760999997612089E-2</c:v>
                </c:pt>
                <c:pt idx="20">
                  <c:v>6.241549999685958E-2</c:v>
                </c:pt>
                <c:pt idx="23">
                  <c:v>0.10456359999807319</c:v>
                </c:pt>
                <c:pt idx="24">
                  <c:v>0.11060244999680435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64-4D34-8520-10ACB3AAFA2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Active!$F$21:$F$47</c:f>
              <c:numCache>
                <c:formatCode>General</c:formatCode>
                <c:ptCount val="27"/>
                <c:pt idx="0">
                  <c:v>-5894</c:v>
                </c:pt>
                <c:pt idx="1">
                  <c:v>-4242</c:v>
                </c:pt>
                <c:pt idx="2">
                  <c:v>-4031</c:v>
                </c:pt>
                <c:pt idx="3">
                  <c:v>-3998</c:v>
                </c:pt>
                <c:pt idx="4">
                  <c:v>-3932</c:v>
                </c:pt>
                <c:pt idx="5">
                  <c:v>-3926</c:v>
                </c:pt>
                <c:pt idx="6">
                  <c:v>-3915</c:v>
                </c:pt>
                <c:pt idx="7">
                  <c:v>-3861</c:v>
                </c:pt>
                <c:pt idx="8">
                  <c:v>-3843</c:v>
                </c:pt>
                <c:pt idx="9">
                  <c:v>-3843</c:v>
                </c:pt>
                <c:pt idx="10">
                  <c:v>-3041</c:v>
                </c:pt>
                <c:pt idx="11">
                  <c:v>-3036</c:v>
                </c:pt>
                <c:pt idx="12">
                  <c:v>-2922</c:v>
                </c:pt>
                <c:pt idx="13">
                  <c:v>-2059.5</c:v>
                </c:pt>
                <c:pt idx="14">
                  <c:v>-2039</c:v>
                </c:pt>
                <c:pt idx="15">
                  <c:v>-1355</c:v>
                </c:pt>
                <c:pt idx="16">
                  <c:v>0</c:v>
                </c:pt>
                <c:pt idx="17">
                  <c:v>1439</c:v>
                </c:pt>
                <c:pt idx="18">
                  <c:v>1439</c:v>
                </c:pt>
                <c:pt idx="19">
                  <c:v>1510</c:v>
                </c:pt>
                <c:pt idx="20">
                  <c:v>1605</c:v>
                </c:pt>
                <c:pt idx="21">
                  <c:v>2052</c:v>
                </c:pt>
                <c:pt idx="22">
                  <c:v>2065</c:v>
                </c:pt>
                <c:pt idx="23">
                  <c:v>2276</c:v>
                </c:pt>
                <c:pt idx="24">
                  <c:v>2279.5</c:v>
                </c:pt>
                <c:pt idx="25">
                  <c:v>2578</c:v>
                </c:pt>
                <c:pt idx="26">
                  <c:v>2654</c:v>
                </c:pt>
              </c:numCache>
            </c:numRef>
          </c:xVal>
          <c:yVal>
            <c:numRef>
              <c:f>Active!$L$21:$L$47</c:f>
              <c:numCache>
                <c:formatCode>General</c:formatCode>
                <c:ptCount val="27"/>
                <c:pt idx="0">
                  <c:v>-0.33972925543982374</c:v>
                </c:pt>
                <c:pt idx="1">
                  <c:v>-0.25004087845660361</c:v>
                </c:pt>
                <c:pt idx="2">
                  <c:v>-0.23858552280075651</c:v>
                </c:pt>
                <c:pt idx="3">
                  <c:v>-0.23679392689249601</c:v>
                </c:pt>
                <c:pt idx="4">
                  <c:v>-0.23321073507597512</c:v>
                </c:pt>
                <c:pt idx="5">
                  <c:v>-0.23288499036538235</c:v>
                </c:pt>
                <c:pt idx="6">
                  <c:v>-0.23228779172929553</c:v>
                </c:pt>
                <c:pt idx="7">
                  <c:v>-0.22935608933396023</c:v>
                </c:pt>
                <c:pt idx="8">
                  <c:v>-0.22837885520218182</c:v>
                </c:pt>
                <c:pt idx="9">
                  <c:v>-0.22837885520218182</c:v>
                </c:pt>
                <c:pt idx="10">
                  <c:v>-0.18483764555294296</c:v>
                </c:pt>
                <c:pt idx="11">
                  <c:v>-0.18456619162744897</c:v>
                </c:pt>
                <c:pt idx="12">
                  <c:v>-0.1783770421261856</c:v>
                </c:pt>
                <c:pt idx="13">
                  <c:v>-0.13155123997846926</c:v>
                </c:pt>
                <c:pt idx="14">
                  <c:v>-0.13043827888394383</c:v>
                </c:pt>
                <c:pt idx="15">
                  <c:v>-9.3303381876363584E-2</c:v>
                </c:pt>
                <c:pt idx="16">
                  <c:v>-1.9739368067487509E-2</c:v>
                </c:pt>
                <c:pt idx="17">
                  <c:v>5.8385071689687901E-2</c:v>
                </c:pt>
                <c:pt idx="18">
                  <c:v>5.8385071689687901E-2</c:v>
                </c:pt>
                <c:pt idx="19">
                  <c:v>6.2239717431702798E-2</c:v>
                </c:pt>
                <c:pt idx="20">
                  <c:v>6.7397342016088949E-2</c:v>
                </c:pt>
                <c:pt idx="21">
                  <c:v>9.1665322955253231E-2</c:v>
                </c:pt>
                <c:pt idx="22">
                  <c:v>9.2371103161537654E-2</c:v>
                </c:pt>
                <c:pt idx="23">
                  <c:v>0.10382645881738478</c:v>
                </c:pt>
                <c:pt idx="24">
                  <c:v>0.10401647656523058</c:v>
                </c:pt>
                <c:pt idx="25">
                  <c:v>0.12022227591722283</c:v>
                </c:pt>
                <c:pt idx="26">
                  <c:v>0.12434837558473176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64-4D34-8520-10ACB3AAFA26}"/>
            </c:ext>
          </c:extLst>
        </c:ser>
        <c:ser>
          <c:idx val="5"/>
          <c:order val="5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C964-4D34-8520-10ACB3AAFA26}"/>
            </c:ext>
          </c:extLst>
        </c:ser>
        <c:ser>
          <c:idx val="6"/>
          <c:order val="6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Active!$F$21:$F$47</c:f>
              <c:numCache>
                <c:formatCode>General</c:formatCode>
                <c:ptCount val="27"/>
                <c:pt idx="0">
                  <c:v>-5894</c:v>
                </c:pt>
                <c:pt idx="1">
                  <c:v>-4242</c:v>
                </c:pt>
                <c:pt idx="2">
                  <c:v>-4031</c:v>
                </c:pt>
                <c:pt idx="3">
                  <c:v>-3998</c:v>
                </c:pt>
                <c:pt idx="4">
                  <c:v>-3932</c:v>
                </c:pt>
                <c:pt idx="5">
                  <c:v>-3926</c:v>
                </c:pt>
                <c:pt idx="6">
                  <c:v>-3915</c:v>
                </c:pt>
                <c:pt idx="7">
                  <c:v>-3861</c:v>
                </c:pt>
                <c:pt idx="8">
                  <c:v>-3843</c:v>
                </c:pt>
                <c:pt idx="9">
                  <c:v>-3843</c:v>
                </c:pt>
                <c:pt idx="10">
                  <c:v>-3041</c:v>
                </c:pt>
                <c:pt idx="11">
                  <c:v>-3036</c:v>
                </c:pt>
                <c:pt idx="12">
                  <c:v>-2922</c:v>
                </c:pt>
                <c:pt idx="13">
                  <c:v>-2059.5</c:v>
                </c:pt>
                <c:pt idx="14">
                  <c:v>-2039</c:v>
                </c:pt>
                <c:pt idx="15">
                  <c:v>-1355</c:v>
                </c:pt>
                <c:pt idx="16">
                  <c:v>0</c:v>
                </c:pt>
                <c:pt idx="17">
                  <c:v>1439</c:v>
                </c:pt>
                <c:pt idx="18">
                  <c:v>1439</c:v>
                </c:pt>
                <c:pt idx="19">
                  <c:v>1510</c:v>
                </c:pt>
                <c:pt idx="20">
                  <c:v>1605</c:v>
                </c:pt>
                <c:pt idx="21">
                  <c:v>2052</c:v>
                </c:pt>
                <c:pt idx="22">
                  <c:v>2065</c:v>
                </c:pt>
                <c:pt idx="23">
                  <c:v>2276</c:v>
                </c:pt>
                <c:pt idx="24">
                  <c:v>2279.5</c:v>
                </c:pt>
                <c:pt idx="25">
                  <c:v>2578</c:v>
                </c:pt>
                <c:pt idx="26">
                  <c:v>2654</c:v>
                </c:pt>
              </c:numCache>
            </c:numRef>
          </c:xVal>
          <c:yVal>
            <c:numRef>
              <c:f>Active!$U$21:$U$47</c:f>
              <c:numCache>
                <c:formatCode>General</c:formatCode>
                <c:ptCount val="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64-4D34-8520-10ACB3AAF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38480"/>
        <c:axId val="1"/>
      </c:scatterChart>
      <c:valAx>
        <c:axId val="796738480"/>
        <c:scaling>
          <c:orientation val="minMax"/>
          <c:min val="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9667169263411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3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32218844984802E-2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38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08222642382468"/>
          <c:y val="0.92145141978098655"/>
          <c:w val="0.60790321422588134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DL Cyg - O-C Diagr.</a:t>
            </a:r>
          </a:p>
        </c:rich>
      </c:tx>
      <c:layout>
        <c:manualLayout>
          <c:xMode val="edge"/>
          <c:yMode val="edge"/>
          <c:x val="0.38391502276176026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4309559939302"/>
          <c:y val="0.14457831325301204"/>
          <c:w val="0.83004552352048555"/>
          <c:h val="0.63554216867469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Active!$F$21:$F$28</c:f>
              <c:numCache>
                <c:formatCode>General</c:formatCode>
                <c:ptCount val="8"/>
                <c:pt idx="0">
                  <c:v>-5894</c:v>
                </c:pt>
                <c:pt idx="1">
                  <c:v>-4242</c:v>
                </c:pt>
                <c:pt idx="2">
                  <c:v>-4031</c:v>
                </c:pt>
                <c:pt idx="3">
                  <c:v>-3998</c:v>
                </c:pt>
                <c:pt idx="4">
                  <c:v>-3932</c:v>
                </c:pt>
                <c:pt idx="5">
                  <c:v>-3926</c:v>
                </c:pt>
                <c:pt idx="6">
                  <c:v>-3915</c:v>
                </c:pt>
                <c:pt idx="7">
                  <c:v>-3861</c:v>
                </c:pt>
              </c:numCache>
            </c:numRef>
          </c:xVal>
          <c:yVal>
            <c:numRef>
              <c:f>Active!$H$21:$H$27</c:f>
              <c:numCache>
                <c:formatCode>General</c:formatCode>
                <c:ptCount val="7"/>
                <c:pt idx="0">
                  <c:v>0.15517659999750322</c:v>
                </c:pt>
                <c:pt idx="1">
                  <c:v>4.0713799993682187E-2</c:v>
                </c:pt>
                <c:pt idx="2">
                  <c:v>0.14865589999681106</c:v>
                </c:pt>
                <c:pt idx="3">
                  <c:v>-7.1778000019548927E-3</c:v>
                </c:pt>
                <c:pt idx="4">
                  <c:v>4.8154799995245412E-2</c:v>
                </c:pt>
                <c:pt idx="5">
                  <c:v>-2.1786000033898745E-3</c:v>
                </c:pt>
                <c:pt idx="6">
                  <c:v>-6.6456500004278496E-2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02-489A-A133-B58FE591273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</c:numCache>
              </c:numRef>
            </c:plus>
            <c:minus>
              <c:numRef>
                <c:f>Active!$D$21:$D$38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Active!$F$21:$F$47</c:f>
              <c:numCache>
                <c:formatCode>General</c:formatCode>
                <c:ptCount val="27"/>
                <c:pt idx="0">
                  <c:v>-5894</c:v>
                </c:pt>
                <c:pt idx="1">
                  <c:v>-4242</c:v>
                </c:pt>
                <c:pt idx="2">
                  <c:v>-4031</c:v>
                </c:pt>
                <c:pt idx="3">
                  <c:v>-3998</c:v>
                </c:pt>
                <c:pt idx="4">
                  <c:v>-3932</c:v>
                </c:pt>
                <c:pt idx="5">
                  <c:v>-3926</c:v>
                </c:pt>
                <c:pt idx="6">
                  <c:v>-3915</c:v>
                </c:pt>
                <c:pt idx="7">
                  <c:v>-3861</c:v>
                </c:pt>
                <c:pt idx="8">
                  <c:v>-3843</c:v>
                </c:pt>
                <c:pt idx="9">
                  <c:v>-3843</c:v>
                </c:pt>
                <c:pt idx="10">
                  <c:v>-3041</c:v>
                </c:pt>
                <c:pt idx="11">
                  <c:v>-3036</c:v>
                </c:pt>
                <c:pt idx="12">
                  <c:v>-2922</c:v>
                </c:pt>
                <c:pt idx="13">
                  <c:v>-2059.5</c:v>
                </c:pt>
                <c:pt idx="14">
                  <c:v>-2039</c:v>
                </c:pt>
                <c:pt idx="15">
                  <c:v>-1355</c:v>
                </c:pt>
                <c:pt idx="16">
                  <c:v>0</c:v>
                </c:pt>
                <c:pt idx="17">
                  <c:v>1439</c:v>
                </c:pt>
                <c:pt idx="18">
                  <c:v>1439</c:v>
                </c:pt>
                <c:pt idx="19">
                  <c:v>1510</c:v>
                </c:pt>
                <c:pt idx="20">
                  <c:v>1605</c:v>
                </c:pt>
                <c:pt idx="21">
                  <c:v>2052</c:v>
                </c:pt>
                <c:pt idx="22">
                  <c:v>2065</c:v>
                </c:pt>
                <c:pt idx="23">
                  <c:v>2276</c:v>
                </c:pt>
                <c:pt idx="24">
                  <c:v>2279.5</c:v>
                </c:pt>
                <c:pt idx="25">
                  <c:v>2578</c:v>
                </c:pt>
                <c:pt idx="26">
                  <c:v>2654</c:v>
                </c:pt>
              </c:numCache>
            </c:numRef>
          </c:xVal>
          <c:yVal>
            <c:numRef>
              <c:f>Active!$I$21:$I$47</c:f>
              <c:numCache>
                <c:formatCode>General</c:formatCode>
                <c:ptCount val="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02-489A-A133-B58FE591273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5.0000000000000001E-3</c:v>
                  </c:pt>
                  <c:pt idx="19">
                    <c:v>1E-3</c:v>
                  </c:pt>
                  <c:pt idx="20">
                    <c:v>5.9999999999999995E-4</c:v>
                  </c:pt>
                  <c:pt idx="21">
                    <c:v>1E-3</c:v>
                  </c:pt>
                  <c:pt idx="22">
                    <c:v>2.0999999999999999E-3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2E-3</c:v>
                  </c:pt>
                  <c:pt idx="26">
                    <c:v>3.2399999999999998E-2</c:v>
                  </c:pt>
                </c:numCache>
              </c:numRef>
            </c:plus>
            <c:minus>
              <c:numRef>
                <c:f>Active!$D$21:$D$47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5.0000000000000001E-3</c:v>
                  </c:pt>
                  <c:pt idx="19">
                    <c:v>1E-3</c:v>
                  </c:pt>
                  <c:pt idx="20">
                    <c:v>5.9999999999999995E-4</c:v>
                  </c:pt>
                  <c:pt idx="21">
                    <c:v>1E-3</c:v>
                  </c:pt>
                  <c:pt idx="22">
                    <c:v>2.0999999999999999E-3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2E-3</c:v>
                  </c:pt>
                  <c:pt idx="26">
                    <c:v>3.2399999999999998E-2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Active!$F$21:$F$47</c:f>
              <c:numCache>
                <c:formatCode>General</c:formatCode>
                <c:ptCount val="27"/>
                <c:pt idx="0">
                  <c:v>-5894</c:v>
                </c:pt>
                <c:pt idx="1">
                  <c:v>-4242</c:v>
                </c:pt>
                <c:pt idx="2">
                  <c:v>-4031</c:v>
                </c:pt>
                <c:pt idx="3">
                  <c:v>-3998</c:v>
                </c:pt>
                <c:pt idx="4">
                  <c:v>-3932</c:v>
                </c:pt>
                <c:pt idx="5">
                  <c:v>-3926</c:v>
                </c:pt>
                <c:pt idx="6">
                  <c:v>-3915</c:v>
                </c:pt>
                <c:pt idx="7">
                  <c:v>-3861</c:v>
                </c:pt>
                <c:pt idx="8">
                  <c:v>-3843</c:v>
                </c:pt>
                <c:pt idx="9">
                  <c:v>-3843</c:v>
                </c:pt>
                <c:pt idx="10">
                  <c:v>-3041</c:v>
                </c:pt>
                <c:pt idx="11">
                  <c:v>-3036</c:v>
                </c:pt>
                <c:pt idx="12">
                  <c:v>-2922</c:v>
                </c:pt>
                <c:pt idx="13">
                  <c:v>-2059.5</c:v>
                </c:pt>
                <c:pt idx="14">
                  <c:v>-2039</c:v>
                </c:pt>
                <c:pt idx="15">
                  <c:v>-1355</c:v>
                </c:pt>
                <c:pt idx="16">
                  <c:v>0</c:v>
                </c:pt>
                <c:pt idx="17">
                  <c:v>1439</c:v>
                </c:pt>
                <c:pt idx="18">
                  <c:v>1439</c:v>
                </c:pt>
                <c:pt idx="19">
                  <c:v>1510</c:v>
                </c:pt>
                <c:pt idx="20">
                  <c:v>1605</c:v>
                </c:pt>
                <c:pt idx="21">
                  <c:v>2052</c:v>
                </c:pt>
                <c:pt idx="22">
                  <c:v>2065</c:v>
                </c:pt>
                <c:pt idx="23">
                  <c:v>2276</c:v>
                </c:pt>
                <c:pt idx="24">
                  <c:v>2279.5</c:v>
                </c:pt>
                <c:pt idx="25">
                  <c:v>2578</c:v>
                </c:pt>
                <c:pt idx="26">
                  <c:v>2654</c:v>
                </c:pt>
              </c:numCache>
            </c:numRef>
          </c:xVal>
          <c:yVal>
            <c:numRef>
              <c:f>Active!$J$21:$J$47</c:f>
              <c:numCache>
                <c:formatCode>General</c:formatCode>
                <c:ptCount val="27"/>
                <c:pt idx="17">
                  <c:v>5.8372899999085348E-2</c:v>
                </c:pt>
                <c:pt idx="21">
                  <c:v>8.9577200000348967E-2</c:v>
                </c:pt>
                <c:pt idx="22">
                  <c:v>9.1721500000858214E-2</c:v>
                </c:pt>
                <c:pt idx="25">
                  <c:v>0.12611579999793321</c:v>
                </c:pt>
                <c:pt idx="26">
                  <c:v>0.12675939999462571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102-489A-A133-B58FE591273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Active!$F$21:$F$47</c:f>
              <c:numCache>
                <c:formatCode>General</c:formatCode>
                <c:ptCount val="27"/>
                <c:pt idx="0">
                  <c:v>-5894</c:v>
                </c:pt>
                <c:pt idx="1">
                  <c:v>-4242</c:v>
                </c:pt>
                <c:pt idx="2">
                  <c:v>-4031</c:v>
                </c:pt>
                <c:pt idx="3">
                  <c:v>-3998</c:v>
                </c:pt>
                <c:pt idx="4">
                  <c:v>-3932</c:v>
                </c:pt>
                <c:pt idx="5">
                  <c:v>-3926</c:v>
                </c:pt>
                <c:pt idx="6">
                  <c:v>-3915</c:v>
                </c:pt>
                <c:pt idx="7">
                  <c:v>-3861</c:v>
                </c:pt>
                <c:pt idx="8">
                  <c:v>-3843</c:v>
                </c:pt>
                <c:pt idx="9">
                  <c:v>-3843</c:v>
                </c:pt>
                <c:pt idx="10">
                  <c:v>-3041</c:v>
                </c:pt>
                <c:pt idx="11">
                  <c:v>-3036</c:v>
                </c:pt>
                <c:pt idx="12">
                  <c:v>-2922</c:v>
                </c:pt>
                <c:pt idx="13">
                  <c:v>-2059.5</c:v>
                </c:pt>
                <c:pt idx="14">
                  <c:v>-2039</c:v>
                </c:pt>
                <c:pt idx="15">
                  <c:v>-1355</c:v>
                </c:pt>
                <c:pt idx="16">
                  <c:v>0</c:v>
                </c:pt>
                <c:pt idx="17">
                  <c:v>1439</c:v>
                </c:pt>
                <c:pt idx="18">
                  <c:v>1439</c:v>
                </c:pt>
                <c:pt idx="19">
                  <c:v>1510</c:v>
                </c:pt>
                <c:pt idx="20">
                  <c:v>1605</c:v>
                </c:pt>
                <c:pt idx="21">
                  <c:v>2052</c:v>
                </c:pt>
                <c:pt idx="22">
                  <c:v>2065</c:v>
                </c:pt>
                <c:pt idx="23">
                  <c:v>2276</c:v>
                </c:pt>
                <c:pt idx="24">
                  <c:v>2279.5</c:v>
                </c:pt>
                <c:pt idx="25">
                  <c:v>2578</c:v>
                </c:pt>
                <c:pt idx="26">
                  <c:v>2654</c:v>
                </c:pt>
              </c:numCache>
            </c:numRef>
          </c:xVal>
          <c:yVal>
            <c:numRef>
              <c:f>Active!$K$21:$K$47</c:f>
              <c:numCache>
                <c:formatCode>General</c:formatCode>
                <c:ptCount val="27"/>
                <c:pt idx="18">
                  <c:v>5.8372899999085348E-2</c:v>
                </c:pt>
                <c:pt idx="19">
                  <c:v>6.3760999997612089E-2</c:v>
                </c:pt>
                <c:pt idx="20">
                  <c:v>6.241549999685958E-2</c:v>
                </c:pt>
                <c:pt idx="23">
                  <c:v>0.10456359999807319</c:v>
                </c:pt>
                <c:pt idx="24">
                  <c:v>0.11060244999680435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102-489A-A133-B58FE591273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Active!$F$21:$F$47</c:f>
              <c:numCache>
                <c:formatCode>General</c:formatCode>
                <c:ptCount val="27"/>
                <c:pt idx="0">
                  <c:v>-5894</c:v>
                </c:pt>
                <c:pt idx="1">
                  <c:v>-4242</c:v>
                </c:pt>
                <c:pt idx="2">
                  <c:v>-4031</c:v>
                </c:pt>
                <c:pt idx="3">
                  <c:v>-3998</c:v>
                </c:pt>
                <c:pt idx="4">
                  <c:v>-3932</c:v>
                </c:pt>
                <c:pt idx="5">
                  <c:v>-3926</c:v>
                </c:pt>
                <c:pt idx="6">
                  <c:v>-3915</c:v>
                </c:pt>
                <c:pt idx="7">
                  <c:v>-3861</c:v>
                </c:pt>
                <c:pt idx="8">
                  <c:v>-3843</c:v>
                </c:pt>
                <c:pt idx="9">
                  <c:v>-3843</c:v>
                </c:pt>
                <c:pt idx="10">
                  <c:v>-3041</c:v>
                </c:pt>
                <c:pt idx="11">
                  <c:v>-3036</c:v>
                </c:pt>
                <c:pt idx="12">
                  <c:v>-2922</c:v>
                </c:pt>
                <c:pt idx="13">
                  <c:v>-2059.5</c:v>
                </c:pt>
                <c:pt idx="14">
                  <c:v>-2039</c:v>
                </c:pt>
                <c:pt idx="15">
                  <c:v>-1355</c:v>
                </c:pt>
                <c:pt idx="16">
                  <c:v>0</c:v>
                </c:pt>
                <c:pt idx="17">
                  <c:v>1439</c:v>
                </c:pt>
                <c:pt idx="18">
                  <c:v>1439</c:v>
                </c:pt>
                <c:pt idx="19">
                  <c:v>1510</c:v>
                </c:pt>
                <c:pt idx="20">
                  <c:v>1605</c:v>
                </c:pt>
                <c:pt idx="21">
                  <c:v>2052</c:v>
                </c:pt>
                <c:pt idx="22">
                  <c:v>2065</c:v>
                </c:pt>
                <c:pt idx="23">
                  <c:v>2276</c:v>
                </c:pt>
                <c:pt idx="24">
                  <c:v>2279.5</c:v>
                </c:pt>
                <c:pt idx="25">
                  <c:v>2578</c:v>
                </c:pt>
                <c:pt idx="26">
                  <c:v>2654</c:v>
                </c:pt>
              </c:numCache>
            </c:numRef>
          </c:xVal>
          <c:yVal>
            <c:numRef>
              <c:f>Active!$L$21:$L$47</c:f>
              <c:numCache>
                <c:formatCode>General</c:formatCode>
                <c:ptCount val="27"/>
                <c:pt idx="0">
                  <c:v>-0.33972925543982374</c:v>
                </c:pt>
                <c:pt idx="1">
                  <c:v>-0.25004087845660361</c:v>
                </c:pt>
                <c:pt idx="2">
                  <c:v>-0.23858552280075651</c:v>
                </c:pt>
                <c:pt idx="3">
                  <c:v>-0.23679392689249601</c:v>
                </c:pt>
                <c:pt idx="4">
                  <c:v>-0.23321073507597512</c:v>
                </c:pt>
                <c:pt idx="5">
                  <c:v>-0.23288499036538235</c:v>
                </c:pt>
                <c:pt idx="6">
                  <c:v>-0.23228779172929553</c:v>
                </c:pt>
                <c:pt idx="7">
                  <c:v>-0.22935608933396023</c:v>
                </c:pt>
                <c:pt idx="8">
                  <c:v>-0.22837885520218182</c:v>
                </c:pt>
                <c:pt idx="9">
                  <c:v>-0.22837885520218182</c:v>
                </c:pt>
                <c:pt idx="10">
                  <c:v>-0.18483764555294296</c:v>
                </c:pt>
                <c:pt idx="11">
                  <c:v>-0.18456619162744897</c:v>
                </c:pt>
                <c:pt idx="12">
                  <c:v>-0.1783770421261856</c:v>
                </c:pt>
                <c:pt idx="13">
                  <c:v>-0.13155123997846926</c:v>
                </c:pt>
                <c:pt idx="14">
                  <c:v>-0.13043827888394383</c:v>
                </c:pt>
                <c:pt idx="15">
                  <c:v>-9.3303381876363584E-2</c:v>
                </c:pt>
                <c:pt idx="16">
                  <c:v>-1.9739368067487509E-2</c:v>
                </c:pt>
                <c:pt idx="17">
                  <c:v>5.8385071689687901E-2</c:v>
                </c:pt>
                <c:pt idx="18">
                  <c:v>5.8385071689687901E-2</c:v>
                </c:pt>
                <c:pt idx="19">
                  <c:v>6.2239717431702798E-2</c:v>
                </c:pt>
                <c:pt idx="20">
                  <c:v>6.7397342016088949E-2</c:v>
                </c:pt>
                <c:pt idx="21">
                  <c:v>9.1665322955253231E-2</c:v>
                </c:pt>
                <c:pt idx="22">
                  <c:v>9.2371103161537654E-2</c:v>
                </c:pt>
                <c:pt idx="23">
                  <c:v>0.10382645881738478</c:v>
                </c:pt>
                <c:pt idx="24">
                  <c:v>0.10401647656523058</c:v>
                </c:pt>
                <c:pt idx="25">
                  <c:v>0.12022227591722283</c:v>
                </c:pt>
                <c:pt idx="26">
                  <c:v>0.12434837558473176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102-489A-A133-B58FE591273F}"/>
            </c:ext>
          </c:extLst>
        </c:ser>
        <c:ser>
          <c:idx val="5"/>
          <c:order val="5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8102-489A-A133-B58FE591273F}"/>
            </c:ext>
          </c:extLst>
        </c:ser>
        <c:ser>
          <c:idx val="6"/>
          <c:order val="6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Active!$F$21:$F$47</c:f>
              <c:numCache>
                <c:formatCode>General</c:formatCode>
                <c:ptCount val="27"/>
                <c:pt idx="0">
                  <c:v>-5894</c:v>
                </c:pt>
                <c:pt idx="1">
                  <c:v>-4242</c:v>
                </c:pt>
                <c:pt idx="2">
                  <c:v>-4031</c:v>
                </c:pt>
                <c:pt idx="3">
                  <c:v>-3998</c:v>
                </c:pt>
                <c:pt idx="4">
                  <c:v>-3932</c:v>
                </c:pt>
                <c:pt idx="5">
                  <c:v>-3926</c:v>
                </c:pt>
                <c:pt idx="6">
                  <c:v>-3915</c:v>
                </c:pt>
                <c:pt idx="7">
                  <c:v>-3861</c:v>
                </c:pt>
                <c:pt idx="8">
                  <c:v>-3843</c:v>
                </c:pt>
                <c:pt idx="9">
                  <c:v>-3843</c:v>
                </c:pt>
                <c:pt idx="10">
                  <c:v>-3041</c:v>
                </c:pt>
                <c:pt idx="11">
                  <c:v>-3036</c:v>
                </c:pt>
                <c:pt idx="12">
                  <c:v>-2922</c:v>
                </c:pt>
                <c:pt idx="13">
                  <c:v>-2059.5</c:v>
                </c:pt>
                <c:pt idx="14">
                  <c:v>-2039</c:v>
                </c:pt>
                <c:pt idx="15">
                  <c:v>-1355</c:v>
                </c:pt>
                <c:pt idx="16">
                  <c:v>0</c:v>
                </c:pt>
                <c:pt idx="17">
                  <c:v>1439</c:v>
                </c:pt>
                <c:pt idx="18">
                  <c:v>1439</c:v>
                </c:pt>
                <c:pt idx="19">
                  <c:v>1510</c:v>
                </c:pt>
                <c:pt idx="20">
                  <c:v>1605</c:v>
                </c:pt>
                <c:pt idx="21">
                  <c:v>2052</c:v>
                </c:pt>
                <c:pt idx="22">
                  <c:v>2065</c:v>
                </c:pt>
                <c:pt idx="23">
                  <c:v>2276</c:v>
                </c:pt>
                <c:pt idx="24">
                  <c:v>2279.5</c:v>
                </c:pt>
                <c:pt idx="25">
                  <c:v>2578</c:v>
                </c:pt>
                <c:pt idx="26">
                  <c:v>2654</c:v>
                </c:pt>
              </c:numCache>
            </c:numRef>
          </c:xVal>
          <c:yVal>
            <c:numRef>
              <c:f>Active!$U$21:$U$47</c:f>
              <c:numCache>
                <c:formatCode>General</c:formatCode>
                <c:ptCount val="2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102-489A-A133-B58FE5912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55536"/>
        <c:axId val="1"/>
      </c:scatterChart>
      <c:valAx>
        <c:axId val="796755536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96813353566007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558421851289835E-2"/>
              <c:y val="0.370481927710843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55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20485584218512"/>
          <c:y val="0.92168674698795183"/>
          <c:w val="0.60698027314112291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16</xdr:col>
      <xdr:colOff>390525</xdr:colOff>
      <xdr:row>18</xdr:row>
      <xdr:rowOff>66675</xdr:rowOff>
    </xdr:to>
    <xdr:graphicFrame macro="">
      <xdr:nvGraphicFramePr>
        <xdr:cNvPr id="1035" name="Chart 1">
          <a:extLst>
            <a:ext uri="{FF2B5EF4-FFF2-40B4-BE49-F238E27FC236}">
              <a16:creationId xmlns:a16="http://schemas.microsoft.com/office/drawing/2014/main" id="{E365D42A-D314-EF0D-F7A6-8B7AC87D16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26</xdr:col>
      <xdr:colOff>104775</xdr:colOff>
      <xdr:row>18</xdr:row>
      <xdr:rowOff>76200</xdr:rowOff>
    </xdr:to>
    <xdr:graphicFrame macro="">
      <xdr:nvGraphicFramePr>
        <xdr:cNvPr id="1036" name="Chart 10">
          <a:extLst>
            <a:ext uri="{FF2B5EF4-FFF2-40B4-BE49-F238E27FC236}">
              <a16:creationId xmlns:a16="http://schemas.microsoft.com/office/drawing/2014/main" id="{FFD6608D-2BF6-908F-63BD-484B07605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2" TargetMode="External"/><Relationship Id="rId3" Type="http://schemas.openxmlformats.org/officeDocument/2006/relationships/hyperlink" Target="http://www.konkoly.hu/cgi-bin/IBVS?4967" TargetMode="External"/><Relationship Id="rId7" Type="http://schemas.openxmlformats.org/officeDocument/2006/relationships/hyperlink" Target="http://www.bav-astro.de/sfs/BAVM_link.php?BAVMnr=212" TargetMode="External"/><Relationship Id="rId2" Type="http://schemas.openxmlformats.org/officeDocument/2006/relationships/hyperlink" Target="http://www.konkoly.hu/cgi-bin/IBVS?4967" TargetMode="External"/><Relationship Id="rId1" Type="http://schemas.openxmlformats.org/officeDocument/2006/relationships/hyperlink" Target="http://www.konkoly.hu/cgi-bin/IBVS?4633" TargetMode="External"/><Relationship Id="rId6" Type="http://schemas.openxmlformats.org/officeDocument/2006/relationships/hyperlink" Target="http://www.bav-astro.de/sfs/BAVM_link.php?BAVMnr=183" TargetMode="External"/><Relationship Id="rId5" Type="http://schemas.openxmlformats.org/officeDocument/2006/relationships/hyperlink" Target="http://www.bav-astro.de/sfs/BAVM_link.php?BAVMnr=186" TargetMode="External"/><Relationship Id="rId10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www.konkoly.hu/cgi-bin/IBVS?5206" TargetMode="External"/><Relationship Id="rId9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1842"/>
  <sheetViews>
    <sheetView tabSelected="1" workbookViewId="0">
      <pane xSplit="14" ySplit="21" topLeftCell="O40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1" width="8.5703125" customWidth="1"/>
    <col min="12" max="12" width="8" customWidth="1"/>
    <col min="13" max="13" width="7.7109375" customWidth="1"/>
    <col min="14" max="14" width="9.85546875" customWidth="1"/>
  </cols>
  <sheetData>
    <row r="1" spans="1:6" ht="20.25" x14ac:dyDescent="0.3">
      <c r="A1" s="1" t="s">
        <v>33</v>
      </c>
    </row>
    <row r="2" spans="1:6" x14ac:dyDescent="0.2">
      <c r="A2" t="s">
        <v>26</v>
      </c>
      <c r="B2" t="s">
        <v>27</v>
      </c>
    </row>
    <row r="3" spans="1:6" ht="13.5" thickBot="1" x14ac:dyDescent="0.25">
      <c r="A3" t="s">
        <v>28</v>
      </c>
    </row>
    <row r="4" spans="1:6" ht="14.25" thickTop="1" thickBot="1" x14ac:dyDescent="0.25">
      <c r="A4" s="7" t="s">
        <v>2</v>
      </c>
      <c r="C4" s="3">
        <v>44087.499000000003</v>
      </c>
      <c r="D4" s="4">
        <v>4.8303889</v>
      </c>
    </row>
    <row r="5" spans="1:6" ht="13.5" thickTop="1" x14ac:dyDescent="0.2">
      <c r="A5" s="11" t="s">
        <v>34</v>
      </c>
      <c r="B5" s="12"/>
      <c r="C5" s="13">
        <v>-9.5</v>
      </c>
      <c r="D5" s="12" t="s">
        <v>35</v>
      </c>
    </row>
    <row r="6" spans="1:6" x14ac:dyDescent="0.2">
      <c r="A6" s="7" t="s">
        <v>3</v>
      </c>
    </row>
    <row r="7" spans="1:6" x14ac:dyDescent="0.2">
      <c r="A7" t="s">
        <v>4</v>
      </c>
      <c r="C7">
        <f>+C4</f>
        <v>44087.499000000003</v>
      </c>
    </row>
    <row r="8" spans="1:6" x14ac:dyDescent="0.2">
      <c r="A8" t="s">
        <v>5</v>
      </c>
      <c r="C8">
        <f>+D4</f>
        <v>4.8303889</v>
      </c>
    </row>
    <row r="9" spans="1:6" x14ac:dyDescent="0.2">
      <c r="A9" s="49" t="s">
        <v>188</v>
      </c>
      <c r="B9" s="50">
        <v>38</v>
      </c>
      <c r="C9" s="51" t="str">
        <f>"F"&amp;B9</f>
        <v>F38</v>
      </c>
      <c r="D9" s="27" t="str">
        <f>"G"&amp;B9</f>
        <v>G38</v>
      </c>
    </row>
    <row r="10" spans="1:6" ht="13.5" thickBot="1" x14ac:dyDescent="0.25">
      <c r="A10" s="12"/>
      <c r="B10" s="12"/>
      <c r="C10" s="6" t="s">
        <v>22</v>
      </c>
      <c r="D10" s="6" t="s">
        <v>23</v>
      </c>
      <c r="E10" s="12"/>
    </row>
    <row r="11" spans="1:6" x14ac:dyDescent="0.2">
      <c r="A11" s="12" t="s">
        <v>18</v>
      </c>
      <c r="B11" s="12"/>
      <c r="C11" s="52">
        <f ca="1">INTERCEPT(INDIRECT($D$9):G978,INDIRECT($C$9):F978)</f>
        <v>-1.9739368067487509E-2</v>
      </c>
      <c r="D11" s="5"/>
      <c r="E11" s="12"/>
    </row>
    <row r="12" spans="1:6" x14ac:dyDescent="0.2">
      <c r="A12" s="12" t="s">
        <v>19</v>
      </c>
      <c r="B12" s="12"/>
      <c r="C12" s="52">
        <f ca="1">SLOPE(INDIRECT($D$9):G978,INDIRECT($C$9):F978)</f>
        <v>5.4290785098801532E-5</v>
      </c>
      <c r="D12" s="5"/>
      <c r="E12" s="12"/>
    </row>
    <row r="13" spans="1:6" x14ac:dyDescent="0.2">
      <c r="A13" s="12" t="s">
        <v>21</v>
      </c>
      <c r="B13" s="12"/>
      <c r="C13" s="5" t="s">
        <v>16</v>
      </c>
    </row>
    <row r="14" spans="1:6" x14ac:dyDescent="0.2">
      <c r="A14" s="12"/>
      <c r="B14" s="12"/>
      <c r="C14" s="12"/>
    </row>
    <row r="15" spans="1:6" x14ac:dyDescent="0.2">
      <c r="A15" s="14" t="s">
        <v>20</v>
      </c>
      <c r="B15" s="12"/>
      <c r="C15" s="15">
        <f ca="1">(C7+C11)+(C8+C12)*INT(MAX(F21:F3532))</f>
        <v>59530.406141571897</v>
      </c>
      <c r="E15" s="16" t="s">
        <v>44</v>
      </c>
      <c r="F15" s="13">
        <v>1</v>
      </c>
    </row>
    <row r="16" spans="1:6" x14ac:dyDescent="0.2">
      <c r="A16" s="18" t="s">
        <v>6</v>
      </c>
      <c r="B16" s="12"/>
      <c r="C16" s="19">
        <f ca="1">+C8+C12</f>
        <v>4.8304431907850987</v>
      </c>
      <c r="E16" s="16" t="s">
        <v>36</v>
      </c>
      <c r="F16" s="17">
        <f ca="1">NOW()+15018.5+$C$5/24</f>
        <v>59956.826056018515</v>
      </c>
    </row>
    <row r="17" spans="1:21" ht="13.5" thickBot="1" x14ac:dyDescent="0.25">
      <c r="A17" s="16" t="s">
        <v>32</v>
      </c>
      <c r="B17" s="12"/>
      <c r="C17" s="12">
        <f>COUNT(C21:C2190)</f>
        <v>32</v>
      </c>
      <c r="E17" s="16" t="s">
        <v>45</v>
      </c>
      <c r="F17" s="17">
        <f ca="1">ROUND(2*(F16-$C$7)/$C$8,0)/2+F15</f>
        <v>3286.5</v>
      </c>
    </row>
    <row r="18" spans="1:21" ht="14.25" thickTop="1" thickBot="1" x14ac:dyDescent="0.25">
      <c r="A18" s="18" t="s">
        <v>7</v>
      </c>
      <c r="B18" s="12"/>
      <c r="C18" s="21">
        <f ca="1">+C15</f>
        <v>59530.406141571897</v>
      </c>
      <c r="D18" s="22">
        <f ca="1">+C16</f>
        <v>4.8304431907850987</v>
      </c>
      <c r="E18" s="16" t="s">
        <v>37</v>
      </c>
      <c r="F18" s="27">
        <f ca="1">ROUND(2*(F16-$C$15)/$C$16,0)/2+F15</f>
        <v>89.5</v>
      </c>
    </row>
    <row r="19" spans="1:21" ht="13.5" thickTop="1" x14ac:dyDescent="0.2">
      <c r="E19" s="16" t="s">
        <v>38</v>
      </c>
      <c r="F19" s="20">
        <f ca="1">+$C$15+$C$16*F18-15018.5-$C$5/24</f>
        <v>44944.626640480499</v>
      </c>
    </row>
    <row r="20" spans="1:21" ht="13.5" thickBot="1" x14ac:dyDescent="0.25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54</v>
      </c>
      <c r="I20" s="9" t="s">
        <v>57</v>
      </c>
      <c r="J20" s="9" t="s">
        <v>51</v>
      </c>
      <c r="K20" s="9" t="s">
        <v>49</v>
      </c>
      <c r="L20" s="9" t="s">
        <v>25</v>
      </c>
      <c r="M20" s="8" t="s">
        <v>24</v>
      </c>
      <c r="N20" s="6" t="s">
        <v>17</v>
      </c>
      <c r="U20" s="48" t="s">
        <v>187</v>
      </c>
    </row>
    <row r="21" spans="1:21" x14ac:dyDescent="0.2">
      <c r="A21" s="45" t="s">
        <v>63</v>
      </c>
      <c r="B21" s="46" t="s">
        <v>40</v>
      </c>
      <c r="C21" s="47">
        <v>15617.342000000001</v>
      </c>
      <c r="D21" s="47" t="s">
        <v>57</v>
      </c>
      <c r="E21">
        <f t="shared" ref="E21:E38" si="0">+(C21-C$7)/C$8</f>
        <v>-5893.9678749261793</v>
      </c>
      <c r="F21">
        <f t="shared" ref="F21:F38" si="1">ROUND(2*E21,0)/2</f>
        <v>-5894</v>
      </c>
      <c r="G21">
        <f t="shared" ref="G21:G38" si="2">+C21-(C$7+F21*C$8)</f>
        <v>0.15517659999750322</v>
      </c>
      <c r="H21">
        <f t="shared" ref="H21:H37" si="3">+G21</f>
        <v>0.15517659999750322</v>
      </c>
      <c r="L21">
        <f t="shared" ref="L21:L38" ca="1" si="4">+C$11+C$12*F21</f>
        <v>-0.33972925543982374</v>
      </c>
      <c r="N21" s="2">
        <f t="shared" ref="N21:N38" si="5">+C21-15018.5</f>
        <v>598.84200000000055</v>
      </c>
    </row>
    <row r="22" spans="1:21" x14ac:dyDescent="0.2">
      <c r="A22" s="45" t="s">
        <v>67</v>
      </c>
      <c r="B22" s="46" t="s">
        <v>40</v>
      </c>
      <c r="C22" s="47">
        <v>23597.03</v>
      </c>
      <c r="D22" s="47" t="s">
        <v>57</v>
      </c>
      <c r="E22">
        <f t="shared" si="0"/>
        <v>-4241.99157132048</v>
      </c>
      <c r="F22">
        <f t="shared" si="1"/>
        <v>-4242</v>
      </c>
      <c r="G22">
        <f t="shared" si="2"/>
        <v>4.0713799993682187E-2</v>
      </c>
      <c r="H22">
        <f t="shared" si="3"/>
        <v>4.0713799993682187E-2</v>
      </c>
      <c r="L22">
        <f t="shared" ca="1" si="4"/>
        <v>-0.25004087845660361</v>
      </c>
      <c r="N22" s="2">
        <f t="shared" si="5"/>
        <v>8578.5299999999988</v>
      </c>
    </row>
    <row r="23" spans="1:21" x14ac:dyDescent="0.2">
      <c r="A23" s="45" t="s">
        <v>73</v>
      </c>
      <c r="B23" s="46" t="s">
        <v>40</v>
      </c>
      <c r="C23" s="47">
        <v>24616.35</v>
      </c>
      <c r="D23" s="47" t="s">
        <v>57</v>
      </c>
      <c r="E23">
        <f t="shared" si="0"/>
        <v>-4030.969224858894</v>
      </c>
      <c r="F23">
        <f t="shared" si="1"/>
        <v>-4031</v>
      </c>
      <c r="G23">
        <f t="shared" si="2"/>
        <v>0.14865589999681106</v>
      </c>
      <c r="H23">
        <f t="shared" si="3"/>
        <v>0.14865589999681106</v>
      </c>
      <c r="L23">
        <f t="shared" ca="1" si="4"/>
        <v>-0.23858552280075651</v>
      </c>
      <c r="N23" s="2">
        <f t="shared" si="5"/>
        <v>9597.8499999999985</v>
      </c>
    </row>
    <row r="24" spans="1:21" x14ac:dyDescent="0.2">
      <c r="A24" s="45" t="s">
        <v>78</v>
      </c>
      <c r="B24" s="46" t="s">
        <v>40</v>
      </c>
      <c r="C24" s="47">
        <v>24775.597000000002</v>
      </c>
      <c r="D24" s="47" t="s">
        <v>57</v>
      </c>
      <c r="E24">
        <f t="shared" si="0"/>
        <v>-3998.0014859673106</v>
      </c>
      <c r="F24">
        <f t="shared" si="1"/>
        <v>-3998</v>
      </c>
      <c r="G24">
        <f t="shared" si="2"/>
        <v>-7.1778000019548927E-3</v>
      </c>
      <c r="H24">
        <f t="shared" si="3"/>
        <v>-7.1778000019548927E-3</v>
      </c>
      <c r="L24">
        <f t="shared" ca="1" si="4"/>
        <v>-0.23679392689249601</v>
      </c>
      <c r="N24" s="2">
        <f t="shared" si="5"/>
        <v>9757.0970000000016</v>
      </c>
    </row>
    <row r="25" spans="1:21" x14ac:dyDescent="0.2">
      <c r="A25" s="45" t="s">
        <v>84</v>
      </c>
      <c r="B25" s="46" t="s">
        <v>40</v>
      </c>
      <c r="C25" s="47">
        <v>25094.457999999999</v>
      </c>
      <c r="D25" s="47" t="s">
        <v>57</v>
      </c>
      <c r="E25">
        <f t="shared" si="0"/>
        <v>-3931.9900308648034</v>
      </c>
      <c r="F25">
        <f t="shared" si="1"/>
        <v>-3932</v>
      </c>
      <c r="G25">
        <f t="shared" si="2"/>
        <v>4.8154799995245412E-2</v>
      </c>
      <c r="H25">
        <f t="shared" si="3"/>
        <v>4.8154799995245412E-2</v>
      </c>
      <c r="L25">
        <f t="shared" ca="1" si="4"/>
        <v>-0.23321073507597512</v>
      </c>
      <c r="N25" s="2">
        <f t="shared" si="5"/>
        <v>10075.957999999999</v>
      </c>
    </row>
    <row r="26" spans="1:21" x14ac:dyDescent="0.2">
      <c r="A26" s="45" t="s">
        <v>89</v>
      </c>
      <c r="B26" s="46" t="s">
        <v>40</v>
      </c>
      <c r="C26" s="47">
        <v>25123.39</v>
      </c>
      <c r="D26" s="47" t="s">
        <v>57</v>
      </c>
      <c r="E26">
        <f t="shared" si="0"/>
        <v>-3926.0004510195863</v>
      </c>
      <c r="F26">
        <f t="shared" si="1"/>
        <v>-3926</v>
      </c>
      <c r="G26">
        <f t="shared" si="2"/>
        <v>-2.1786000033898745E-3</v>
      </c>
      <c r="H26">
        <f t="shared" si="3"/>
        <v>-2.1786000033898745E-3</v>
      </c>
      <c r="L26">
        <f t="shared" ca="1" si="4"/>
        <v>-0.23288499036538235</v>
      </c>
      <c r="N26" s="2">
        <f t="shared" si="5"/>
        <v>10104.89</v>
      </c>
    </row>
    <row r="27" spans="1:21" x14ac:dyDescent="0.2">
      <c r="A27" s="45" t="s">
        <v>73</v>
      </c>
      <c r="B27" s="46" t="s">
        <v>40</v>
      </c>
      <c r="C27" s="47">
        <v>25176.46</v>
      </c>
      <c r="D27" s="47" t="s">
        <v>57</v>
      </c>
      <c r="E27">
        <f t="shared" si="0"/>
        <v>-3915.0137580019705</v>
      </c>
      <c r="F27">
        <f t="shared" si="1"/>
        <v>-3915</v>
      </c>
      <c r="G27">
        <f t="shared" si="2"/>
        <v>-6.6456500004278496E-2</v>
      </c>
      <c r="H27">
        <f t="shared" si="3"/>
        <v>-6.6456500004278496E-2</v>
      </c>
      <c r="L27">
        <f t="shared" ca="1" si="4"/>
        <v>-0.23228779172929553</v>
      </c>
      <c r="N27" s="2">
        <f t="shared" si="5"/>
        <v>10157.959999999999</v>
      </c>
    </row>
    <row r="28" spans="1:21" x14ac:dyDescent="0.2">
      <c r="A28" s="45" t="s">
        <v>97</v>
      </c>
      <c r="B28" s="46" t="s">
        <v>40</v>
      </c>
      <c r="C28" s="47">
        <v>25437.4</v>
      </c>
      <c r="D28" s="47" t="s">
        <v>57</v>
      </c>
      <c r="E28">
        <f t="shared" si="0"/>
        <v>-3860.9932628820015</v>
      </c>
      <c r="F28">
        <f t="shared" si="1"/>
        <v>-3861</v>
      </c>
      <c r="G28">
        <f t="shared" si="2"/>
        <v>3.2542899996769847E-2</v>
      </c>
      <c r="H28">
        <f t="shared" si="3"/>
        <v>3.2542899996769847E-2</v>
      </c>
      <c r="L28">
        <f t="shared" ca="1" si="4"/>
        <v>-0.22935608933396023</v>
      </c>
      <c r="N28" s="2">
        <f t="shared" si="5"/>
        <v>10418.900000000001</v>
      </c>
    </row>
    <row r="29" spans="1:21" x14ac:dyDescent="0.2">
      <c r="A29" s="45" t="s">
        <v>102</v>
      </c>
      <c r="B29" s="46" t="s">
        <v>40</v>
      </c>
      <c r="C29" s="47">
        <v>25524.3</v>
      </c>
      <c r="D29" s="47" t="s">
        <v>57</v>
      </c>
      <c r="E29">
        <f t="shared" si="0"/>
        <v>-3843.0029929888265</v>
      </c>
      <c r="F29">
        <f t="shared" si="1"/>
        <v>-3843</v>
      </c>
      <c r="G29">
        <f t="shared" si="2"/>
        <v>-1.4457300003414275E-2</v>
      </c>
      <c r="H29">
        <f t="shared" si="3"/>
        <v>-1.4457300003414275E-2</v>
      </c>
      <c r="L29">
        <f t="shared" ca="1" si="4"/>
        <v>-0.22837885520218182</v>
      </c>
      <c r="N29" s="2">
        <f t="shared" si="5"/>
        <v>10505.8</v>
      </c>
    </row>
    <row r="30" spans="1:21" x14ac:dyDescent="0.2">
      <c r="A30" s="45" t="s">
        <v>89</v>
      </c>
      <c r="B30" s="46" t="s">
        <v>40</v>
      </c>
      <c r="C30" s="47">
        <v>25524.313999999998</v>
      </c>
      <c r="D30" s="47" t="s">
        <v>57</v>
      </c>
      <c r="E30">
        <f t="shared" si="0"/>
        <v>-3843.0000946714672</v>
      </c>
      <c r="F30">
        <f t="shared" si="1"/>
        <v>-3843</v>
      </c>
      <c r="G30">
        <f t="shared" si="2"/>
        <v>-4.5730000420007855E-4</v>
      </c>
      <c r="H30">
        <f t="shared" si="3"/>
        <v>-4.5730000420007855E-4</v>
      </c>
      <c r="L30">
        <f t="shared" ca="1" si="4"/>
        <v>-0.22837885520218182</v>
      </c>
      <c r="N30" s="2">
        <f t="shared" si="5"/>
        <v>10505.813999999998</v>
      </c>
    </row>
    <row r="31" spans="1:21" x14ac:dyDescent="0.2">
      <c r="A31" s="45" t="s">
        <v>110</v>
      </c>
      <c r="B31" s="46" t="s">
        <v>40</v>
      </c>
      <c r="C31" s="47">
        <v>29397.96</v>
      </c>
      <c r="D31" s="47" t="s">
        <v>57</v>
      </c>
      <c r="E31">
        <f t="shared" si="0"/>
        <v>-3041.0675629036837</v>
      </c>
      <c r="F31">
        <f t="shared" si="1"/>
        <v>-3041</v>
      </c>
      <c r="G31">
        <f t="shared" si="2"/>
        <v>-0.32635510000545764</v>
      </c>
      <c r="H31">
        <f t="shared" si="3"/>
        <v>-0.32635510000545764</v>
      </c>
      <c r="L31">
        <f t="shared" ca="1" si="4"/>
        <v>-0.18483764555294296</v>
      </c>
      <c r="N31" s="2">
        <f t="shared" si="5"/>
        <v>14379.46</v>
      </c>
    </row>
    <row r="32" spans="1:21" x14ac:dyDescent="0.2">
      <c r="A32" s="45" t="s">
        <v>110</v>
      </c>
      <c r="B32" s="46" t="s">
        <v>40</v>
      </c>
      <c r="C32" s="47">
        <v>29422.492999999999</v>
      </c>
      <c r="D32" s="47" t="s">
        <v>57</v>
      </c>
      <c r="E32">
        <f t="shared" si="0"/>
        <v>-3035.9886757772247</v>
      </c>
      <c r="F32">
        <f t="shared" si="1"/>
        <v>-3036</v>
      </c>
      <c r="G32">
        <f t="shared" si="2"/>
        <v>5.4700399992725579E-2</v>
      </c>
      <c r="H32">
        <f t="shared" si="3"/>
        <v>5.4700399992725579E-2</v>
      </c>
      <c r="L32">
        <f t="shared" ca="1" si="4"/>
        <v>-0.18456619162744897</v>
      </c>
      <c r="N32" s="2">
        <f t="shared" si="5"/>
        <v>14403.992999999999</v>
      </c>
    </row>
    <row r="33" spans="1:14" x14ac:dyDescent="0.2">
      <c r="A33" s="45" t="s">
        <v>118</v>
      </c>
      <c r="B33" s="46" t="s">
        <v>40</v>
      </c>
      <c r="C33" s="47">
        <v>29972.81</v>
      </c>
      <c r="D33" s="47" t="s">
        <v>57</v>
      </c>
      <c r="E33">
        <f t="shared" si="0"/>
        <v>-2922.0605819129805</v>
      </c>
      <c r="F33">
        <f t="shared" si="1"/>
        <v>-2922</v>
      </c>
      <c r="G33">
        <f t="shared" si="2"/>
        <v>-0.29263420000279439</v>
      </c>
      <c r="H33">
        <f t="shared" si="3"/>
        <v>-0.29263420000279439</v>
      </c>
      <c r="L33">
        <f t="shared" ca="1" si="4"/>
        <v>-0.1783770421261856</v>
      </c>
      <c r="N33" s="2">
        <f t="shared" si="5"/>
        <v>14954.310000000001</v>
      </c>
    </row>
    <row r="34" spans="1:14" x14ac:dyDescent="0.2">
      <c r="A34" s="45" t="s">
        <v>110</v>
      </c>
      <c r="B34" s="46" t="s">
        <v>42</v>
      </c>
      <c r="C34" s="47">
        <v>34139.400999999998</v>
      </c>
      <c r="D34" s="47" t="s">
        <v>57</v>
      </c>
      <c r="E34">
        <f t="shared" si="0"/>
        <v>-2059.4817945196928</v>
      </c>
      <c r="F34">
        <f t="shared" si="1"/>
        <v>-2059.5</v>
      </c>
      <c r="G34">
        <f t="shared" si="2"/>
        <v>8.7939549994189292E-2</v>
      </c>
      <c r="H34">
        <f t="shared" si="3"/>
        <v>8.7939549994189292E-2</v>
      </c>
      <c r="L34">
        <f t="shared" ca="1" si="4"/>
        <v>-0.13155123997846926</v>
      </c>
      <c r="N34" s="2">
        <f t="shared" si="5"/>
        <v>19120.900999999998</v>
      </c>
    </row>
    <row r="35" spans="1:14" x14ac:dyDescent="0.2">
      <c r="A35" s="45" t="s">
        <v>110</v>
      </c>
      <c r="B35" s="46" t="s">
        <v>40</v>
      </c>
      <c r="C35" s="47">
        <v>34238.438999999998</v>
      </c>
      <c r="D35" s="47" t="s">
        <v>57</v>
      </c>
      <c r="E35">
        <f t="shared" si="0"/>
        <v>-2038.9786834761908</v>
      </c>
      <c r="F35">
        <f t="shared" si="1"/>
        <v>-2039</v>
      </c>
      <c r="G35">
        <f t="shared" si="2"/>
        <v>0.10296709999238374</v>
      </c>
      <c r="H35">
        <f t="shared" si="3"/>
        <v>0.10296709999238374</v>
      </c>
      <c r="L35">
        <f t="shared" ca="1" si="4"/>
        <v>-0.13043827888394383</v>
      </c>
      <c r="N35" s="2">
        <f t="shared" si="5"/>
        <v>19219.938999999998</v>
      </c>
    </row>
    <row r="36" spans="1:14" x14ac:dyDescent="0.2">
      <c r="A36" s="45" t="s">
        <v>129</v>
      </c>
      <c r="B36" s="46" t="s">
        <v>40</v>
      </c>
      <c r="C36" s="47">
        <v>37542.330999999998</v>
      </c>
      <c r="D36" s="47" t="s">
        <v>57</v>
      </c>
      <c r="E36">
        <f t="shared" si="0"/>
        <v>-1354.9981451804026</v>
      </c>
      <c r="F36">
        <f t="shared" si="1"/>
        <v>-1355</v>
      </c>
      <c r="G36">
        <f t="shared" si="2"/>
        <v>8.9594999953988008E-3</v>
      </c>
      <c r="H36">
        <f t="shared" si="3"/>
        <v>8.9594999953988008E-3</v>
      </c>
      <c r="L36">
        <f t="shared" ca="1" si="4"/>
        <v>-9.3303381876363584E-2</v>
      </c>
      <c r="N36" s="2">
        <f t="shared" si="5"/>
        <v>22523.830999999998</v>
      </c>
    </row>
    <row r="37" spans="1:14" x14ac:dyDescent="0.2">
      <c r="A37" t="s">
        <v>14</v>
      </c>
      <c r="B37" s="5"/>
      <c r="C37" s="23">
        <v>44087.499000000003</v>
      </c>
      <c r="D37" s="23" t="s">
        <v>16</v>
      </c>
      <c r="E37">
        <f t="shared" si="0"/>
        <v>0</v>
      </c>
      <c r="F37">
        <f t="shared" si="1"/>
        <v>0</v>
      </c>
      <c r="G37">
        <f t="shared" si="2"/>
        <v>0</v>
      </c>
      <c r="H37">
        <f t="shared" si="3"/>
        <v>0</v>
      </c>
      <c r="L37">
        <f t="shared" ca="1" si="4"/>
        <v>-1.9739368067487509E-2</v>
      </c>
      <c r="N37" s="2">
        <f t="shared" si="5"/>
        <v>29068.999000000003</v>
      </c>
    </row>
    <row r="38" spans="1:14" x14ac:dyDescent="0.2">
      <c r="A38" t="s">
        <v>31</v>
      </c>
      <c r="B38" s="5"/>
      <c r="C38" s="23">
        <v>51038.487000000001</v>
      </c>
      <c r="D38" s="23">
        <v>3.0000000000000001E-3</v>
      </c>
      <c r="E38">
        <f t="shared" si="0"/>
        <v>1439.0120845135259</v>
      </c>
      <c r="F38">
        <f t="shared" si="1"/>
        <v>1439</v>
      </c>
      <c r="G38">
        <f t="shared" si="2"/>
        <v>5.8372899999085348E-2</v>
      </c>
      <c r="J38">
        <f>+G38</f>
        <v>5.8372899999085348E-2</v>
      </c>
      <c r="L38">
        <f t="shared" ca="1" si="4"/>
        <v>5.8385071689687901E-2</v>
      </c>
      <c r="N38" s="2">
        <f t="shared" si="5"/>
        <v>36019.987000000001</v>
      </c>
    </row>
    <row r="39" spans="1:14" x14ac:dyDescent="0.2">
      <c r="A39" t="s">
        <v>30</v>
      </c>
      <c r="B39" s="5" t="s">
        <v>42</v>
      </c>
      <c r="C39" s="23">
        <v>51113.370999999999</v>
      </c>
      <c r="D39" s="23">
        <v>5.0000000000000001E-3</v>
      </c>
      <c r="E39">
        <f>+(C38-C$7)/C$8</f>
        <v>1439.0120845135259</v>
      </c>
      <c r="F39">
        <f t="shared" ref="F39:F49" si="6">ROUND(2*E39,0)/2</f>
        <v>1439</v>
      </c>
      <c r="G39">
        <f>+C38-(C$7+F39*C$8)</f>
        <v>5.8372899999085348E-2</v>
      </c>
      <c r="K39">
        <f>+G39</f>
        <v>5.8372899999085348E-2</v>
      </c>
      <c r="L39">
        <f t="shared" ref="L39:L49" ca="1" si="7">+C$11+C$12*F39</f>
        <v>5.8385071689687901E-2</v>
      </c>
      <c r="N39" s="2">
        <f t="shared" ref="N39:N49" si="8">+C39-15018.5</f>
        <v>36094.870999999999</v>
      </c>
    </row>
    <row r="40" spans="1:14" x14ac:dyDescent="0.2">
      <c r="A40" t="s">
        <v>30</v>
      </c>
      <c r="B40" s="5" t="s">
        <v>40</v>
      </c>
      <c r="C40" s="23">
        <v>51381.45</v>
      </c>
      <c r="D40" s="23">
        <v>1E-3</v>
      </c>
      <c r="E40">
        <f t="shared" ref="E40:E49" si="9">+(C40-C$7)/C$8</f>
        <v>1510.0131999723653</v>
      </c>
      <c r="F40">
        <f t="shared" si="6"/>
        <v>1510</v>
      </c>
      <c r="G40">
        <f t="shared" ref="G40:G49" si="10">+C40-(C$7+F40*C$8)</f>
        <v>6.3760999997612089E-2</v>
      </c>
      <c r="K40">
        <f>+G40</f>
        <v>6.3760999997612089E-2</v>
      </c>
      <c r="L40">
        <f t="shared" ca="1" si="7"/>
        <v>6.2239717431702798E-2</v>
      </c>
      <c r="N40" s="2">
        <f t="shared" si="8"/>
        <v>36362.949999999997</v>
      </c>
    </row>
    <row r="41" spans="1:14" x14ac:dyDescent="0.2">
      <c r="A41" t="s">
        <v>29</v>
      </c>
      <c r="B41" s="5" t="s">
        <v>40</v>
      </c>
      <c r="C41" s="23">
        <v>51840.335599999999</v>
      </c>
      <c r="D41" s="23">
        <v>5.9999999999999995E-4</v>
      </c>
      <c r="E41">
        <f t="shared" si="9"/>
        <v>1605.012921423365</v>
      </c>
      <c r="F41">
        <f t="shared" si="6"/>
        <v>1605</v>
      </c>
      <c r="G41">
        <f t="shared" si="10"/>
        <v>6.241549999685958E-2</v>
      </c>
      <c r="K41">
        <f>+G41</f>
        <v>6.241549999685958E-2</v>
      </c>
      <c r="L41">
        <f t="shared" ca="1" si="7"/>
        <v>6.7397342016088949E-2</v>
      </c>
      <c r="N41" s="2">
        <f t="shared" si="8"/>
        <v>36821.835599999999</v>
      </c>
    </row>
    <row r="42" spans="1:14" x14ac:dyDescent="0.2">
      <c r="A42" s="26" t="s">
        <v>41</v>
      </c>
      <c r="B42" s="25"/>
      <c r="C42" s="10">
        <v>53999.546600000001</v>
      </c>
      <c r="D42" s="10">
        <v>1E-3</v>
      </c>
      <c r="E42">
        <f t="shared" si="9"/>
        <v>2052.018544510981</v>
      </c>
      <c r="F42">
        <f t="shared" si="6"/>
        <v>2052</v>
      </c>
      <c r="G42">
        <f t="shared" si="10"/>
        <v>8.9577200000348967E-2</v>
      </c>
      <c r="J42">
        <f>+G42</f>
        <v>8.9577200000348967E-2</v>
      </c>
      <c r="L42">
        <f t="shared" ca="1" si="7"/>
        <v>9.1665322955253231E-2</v>
      </c>
      <c r="N42" s="2">
        <f t="shared" si="8"/>
        <v>38981.046600000001</v>
      </c>
    </row>
    <row r="43" spans="1:14" x14ac:dyDescent="0.2">
      <c r="A43" s="24" t="s">
        <v>39</v>
      </c>
      <c r="B43" s="25" t="s">
        <v>40</v>
      </c>
      <c r="C43" s="10">
        <v>54062.343800000002</v>
      </c>
      <c r="D43" s="10">
        <v>2.0999999999999999E-3</v>
      </c>
      <c r="E43">
        <f t="shared" si="9"/>
        <v>2065.0189884296892</v>
      </c>
      <c r="F43">
        <f t="shared" si="6"/>
        <v>2065</v>
      </c>
      <c r="G43">
        <f t="shared" si="10"/>
        <v>9.1721500000858214E-2</v>
      </c>
      <c r="J43">
        <f>+G43</f>
        <v>9.1721500000858214E-2</v>
      </c>
      <c r="L43">
        <f t="shared" ca="1" si="7"/>
        <v>9.2371103161537654E-2</v>
      </c>
      <c r="N43" s="2">
        <f t="shared" si="8"/>
        <v>39043.843800000002</v>
      </c>
    </row>
    <row r="44" spans="1:14" x14ac:dyDescent="0.2">
      <c r="A44" s="45" t="s">
        <v>172</v>
      </c>
      <c r="B44" s="46" t="s">
        <v>40</v>
      </c>
      <c r="C44" s="47">
        <v>55081.568700000003</v>
      </c>
      <c r="D44" s="47" t="s">
        <v>57</v>
      </c>
      <c r="E44">
        <f t="shared" si="9"/>
        <v>2276.0216470355008</v>
      </c>
      <c r="F44">
        <f t="shared" si="6"/>
        <v>2276</v>
      </c>
      <c r="G44">
        <f t="shared" si="10"/>
        <v>0.10456359999807319</v>
      </c>
      <c r="K44">
        <f>+G44</f>
        <v>0.10456359999807319</v>
      </c>
      <c r="L44">
        <f t="shared" ca="1" si="7"/>
        <v>0.10382645881738478</v>
      </c>
      <c r="N44" s="2">
        <f t="shared" si="8"/>
        <v>40063.068700000003</v>
      </c>
    </row>
    <row r="45" spans="1:14" x14ac:dyDescent="0.2">
      <c r="A45" s="45" t="s">
        <v>172</v>
      </c>
      <c r="B45" s="46" t="s">
        <v>42</v>
      </c>
      <c r="C45" s="47">
        <v>55098.481099999997</v>
      </c>
      <c r="D45" s="47" t="s">
        <v>57</v>
      </c>
      <c r="E45">
        <f t="shared" si="9"/>
        <v>2279.5228972143409</v>
      </c>
      <c r="F45">
        <f t="shared" si="6"/>
        <v>2279.5</v>
      </c>
      <c r="G45">
        <f t="shared" si="10"/>
        <v>0.11060244999680435</v>
      </c>
      <c r="K45">
        <f>+G45</f>
        <v>0.11060244999680435</v>
      </c>
      <c r="L45">
        <f t="shared" ca="1" si="7"/>
        <v>0.10401647656523058</v>
      </c>
      <c r="N45" s="2">
        <f t="shared" si="8"/>
        <v>40079.981099999997</v>
      </c>
    </row>
    <row r="46" spans="1:14" x14ac:dyDescent="0.2">
      <c r="A46" s="28" t="s">
        <v>43</v>
      </c>
      <c r="B46" s="29" t="s">
        <v>40</v>
      </c>
      <c r="C46" s="30">
        <v>56540.367700000003</v>
      </c>
      <c r="D46" s="31">
        <v>2E-3</v>
      </c>
      <c r="E46">
        <f t="shared" si="9"/>
        <v>2578.0261088294565</v>
      </c>
      <c r="F46">
        <f t="shared" si="6"/>
        <v>2578</v>
      </c>
      <c r="G46">
        <f t="shared" si="10"/>
        <v>0.12611579999793321</v>
      </c>
      <c r="J46">
        <f>+G46</f>
        <v>0.12611579999793321</v>
      </c>
      <c r="L46">
        <f t="shared" ca="1" si="7"/>
        <v>0.12022227591722283</v>
      </c>
      <c r="N46" s="2">
        <f t="shared" si="8"/>
        <v>41521.867700000003</v>
      </c>
    </row>
    <row r="47" spans="1:14" x14ac:dyDescent="0.2">
      <c r="A47" s="31" t="s">
        <v>46</v>
      </c>
      <c r="B47" s="53"/>
      <c r="C47" s="31">
        <v>56907.477899999998</v>
      </c>
      <c r="D47" s="31">
        <v>3.2399999999999998E-2</v>
      </c>
      <c r="E47" s="54">
        <f t="shared" si="9"/>
        <v>2654.0262420692452</v>
      </c>
      <c r="F47">
        <f t="shared" si="6"/>
        <v>2654</v>
      </c>
      <c r="G47">
        <f t="shared" si="10"/>
        <v>0.12675939999462571</v>
      </c>
      <c r="J47">
        <f>+G47</f>
        <v>0.12675939999462571</v>
      </c>
      <c r="L47">
        <f t="shared" ca="1" si="7"/>
        <v>0.12434837558473176</v>
      </c>
      <c r="N47" s="2">
        <f t="shared" si="8"/>
        <v>41888.977899999998</v>
      </c>
    </row>
    <row r="48" spans="1:14" ht="12" customHeight="1" x14ac:dyDescent="0.2">
      <c r="A48" s="55" t="s">
        <v>1</v>
      </c>
      <c r="B48" s="56" t="s">
        <v>40</v>
      </c>
      <c r="C48" s="57">
        <v>57588.565300000002</v>
      </c>
      <c r="D48" s="57">
        <v>8.0000000000000002E-3</v>
      </c>
      <c r="E48" s="54">
        <f t="shared" si="9"/>
        <v>2795.0267731030931</v>
      </c>
      <c r="F48">
        <f t="shared" si="6"/>
        <v>2795</v>
      </c>
      <c r="G48">
        <f t="shared" si="10"/>
        <v>0.12932449999789242</v>
      </c>
      <c r="K48">
        <f>+G48</f>
        <v>0.12932449999789242</v>
      </c>
      <c r="L48">
        <f t="shared" ca="1" si="7"/>
        <v>0.13200337628366277</v>
      </c>
      <c r="N48" s="2">
        <f t="shared" si="8"/>
        <v>42570.065300000002</v>
      </c>
    </row>
    <row r="49" spans="1:14" ht="12" customHeight="1" x14ac:dyDescent="0.2">
      <c r="A49" s="58" t="s">
        <v>0</v>
      </c>
      <c r="B49" s="59" t="s">
        <v>40</v>
      </c>
      <c r="C49" s="59">
        <v>57989.488599999997</v>
      </c>
      <c r="D49" s="59">
        <v>1.4E-3</v>
      </c>
      <c r="E49" s="54">
        <f t="shared" si="9"/>
        <v>2878.0269845353432</v>
      </c>
      <c r="F49">
        <f t="shared" si="6"/>
        <v>2878</v>
      </c>
      <c r="G49">
        <f t="shared" si="10"/>
        <v>0.13034579998929985</v>
      </c>
      <c r="K49">
        <f>+G49</f>
        <v>0.13034579998929985</v>
      </c>
      <c r="L49">
        <f t="shared" ca="1" si="7"/>
        <v>0.1365095114468633</v>
      </c>
      <c r="N49" s="2">
        <f t="shared" si="8"/>
        <v>42970.988599999997</v>
      </c>
    </row>
    <row r="50" spans="1:14" ht="12" customHeight="1" x14ac:dyDescent="0.2">
      <c r="A50" s="60" t="s">
        <v>189</v>
      </c>
      <c r="B50" s="61" t="s">
        <v>40</v>
      </c>
      <c r="C50" s="62">
        <v>59071.512799999997</v>
      </c>
      <c r="D50" s="60">
        <v>3.5999999999999999E-3</v>
      </c>
      <c r="E50" s="54">
        <f t="shared" ref="E50:E52" si="11">+(C50-C$7)/C$8</f>
        <v>3102.0305218074664</v>
      </c>
      <c r="F50">
        <f t="shared" ref="F50:F52" si="12">ROUND(2*E50,0)/2</f>
        <v>3102</v>
      </c>
      <c r="G50">
        <f t="shared" ref="G50:G52" si="13">+C50-(C$7+F50*C$8)</f>
        <v>0.14743219999218127</v>
      </c>
      <c r="K50">
        <f t="shared" ref="K50:K52" si="14">+G50</f>
        <v>0.14743219999218127</v>
      </c>
      <c r="L50">
        <f t="shared" ref="L50:L52" ca="1" si="15">+C$11+C$12*F50</f>
        <v>0.14867064730899482</v>
      </c>
      <c r="N50" s="2">
        <f t="shared" ref="N50:N52" si="16">+C50-15018.5</f>
        <v>44053.012799999997</v>
      </c>
    </row>
    <row r="51" spans="1:14" ht="12" customHeight="1" x14ac:dyDescent="0.2">
      <c r="A51" s="63" t="s">
        <v>190</v>
      </c>
      <c r="B51" s="61" t="s">
        <v>40</v>
      </c>
      <c r="C51" s="62">
        <v>59501.426099999997</v>
      </c>
      <c r="D51" s="60">
        <v>8.9999999999999998E-4</v>
      </c>
      <c r="E51" s="54">
        <f t="shared" si="11"/>
        <v>3191.0323203997082</v>
      </c>
      <c r="F51">
        <f t="shared" si="12"/>
        <v>3191</v>
      </c>
      <c r="G51">
        <f t="shared" si="13"/>
        <v>0.15612009999313159</v>
      </c>
      <c r="K51">
        <f t="shared" si="14"/>
        <v>0.15612009999313159</v>
      </c>
      <c r="L51">
        <f t="shared" ca="1" si="15"/>
        <v>0.15350252718278817</v>
      </c>
      <c r="N51" s="2">
        <f t="shared" si="16"/>
        <v>44482.926099999997</v>
      </c>
    </row>
    <row r="52" spans="1:14" ht="12" customHeight="1" x14ac:dyDescent="0.2">
      <c r="A52" s="63" t="s">
        <v>190</v>
      </c>
      <c r="B52" s="61" t="s">
        <v>40</v>
      </c>
      <c r="C52" s="62">
        <v>59530.404199999997</v>
      </c>
      <c r="D52" s="60">
        <v>5.0000000000000001E-4</v>
      </c>
      <c r="E52" s="54">
        <f t="shared" si="11"/>
        <v>3197.0314439899435</v>
      </c>
      <c r="F52">
        <f t="shared" si="12"/>
        <v>3197</v>
      </c>
      <c r="G52">
        <f t="shared" si="13"/>
        <v>0.15188669999042759</v>
      </c>
      <c r="K52">
        <f t="shared" si="14"/>
        <v>0.15188669999042759</v>
      </c>
      <c r="L52">
        <f t="shared" ca="1" si="15"/>
        <v>0.153828271893381</v>
      </c>
      <c r="N52" s="2">
        <f t="shared" si="16"/>
        <v>44511.904199999997</v>
      </c>
    </row>
    <row r="53" spans="1:14" ht="12" customHeight="1" x14ac:dyDescent="0.2">
      <c r="B53" s="5"/>
      <c r="C53" s="10"/>
      <c r="D53" s="10"/>
    </row>
    <row r="54" spans="1:14" x14ac:dyDescent="0.2">
      <c r="B54" s="5"/>
      <c r="C54" s="10"/>
      <c r="D54" s="10"/>
    </row>
    <row r="55" spans="1:14" x14ac:dyDescent="0.2">
      <c r="B55" s="5"/>
      <c r="C55" s="10"/>
      <c r="D55" s="10"/>
    </row>
    <row r="56" spans="1:14" x14ac:dyDescent="0.2">
      <c r="B56" s="5"/>
      <c r="C56" s="10"/>
      <c r="D56" s="10"/>
    </row>
    <row r="57" spans="1:14" x14ac:dyDescent="0.2">
      <c r="B57" s="5"/>
      <c r="C57" s="10"/>
      <c r="D57" s="10"/>
    </row>
    <row r="58" spans="1:14" x14ac:dyDescent="0.2">
      <c r="B58" s="5"/>
      <c r="C58" s="10"/>
      <c r="D58" s="10"/>
    </row>
    <row r="59" spans="1:14" x14ac:dyDescent="0.2">
      <c r="B59" s="5"/>
      <c r="C59" s="10"/>
      <c r="D59" s="10"/>
    </row>
    <row r="60" spans="1:14" x14ac:dyDescent="0.2">
      <c r="B60" s="5"/>
      <c r="C60" s="10"/>
      <c r="D60" s="10"/>
    </row>
    <row r="61" spans="1:14" x14ac:dyDescent="0.2">
      <c r="C61" s="10"/>
      <c r="D61" s="10"/>
    </row>
    <row r="62" spans="1:14" x14ac:dyDescent="0.2">
      <c r="C62" s="10"/>
      <c r="D62" s="10"/>
    </row>
    <row r="63" spans="1:14" x14ac:dyDescent="0.2">
      <c r="C63" s="10"/>
      <c r="D63" s="10"/>
    </row>
    <row r="64" spans="1:1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</sheetData>
  <phoneticPr fontId="0" type="noConversion"/>
  <hyperlinks>
    <hyperlink ref="H1103" r:id="rId1" display="http://vsolj.cetus-net.org/bulletin.html" xr:uid="{00000000-0004-0000-0000-000000000000}"/>
    <hyperlink ref="H64729" r:id="rId2" display="http://vsolj.cetus-net.org/bulletin.html" xr:uid="{00000000-0004-0000-0000-000001000000}"/>
    <hyperlink ref="H64722" r:id="rId3" display="https://www.aavso.org/ejaavso" xr:uid="{00000000-0004-0000-0000-000002000000}"/>
    <hyperlink ref="AP873" r:id="rId4" display="http://cdsbib.u-strasbg.fr/cgi-bin/cdsbib?1990RMxAA..21..381G" xr:uid="{00000000-0004-0000-0000-000003000000}"/>
    <hyperlink ref="AP877" r:id="rId5" display="http://cdsbib.u-strasbg.fr/cgi-bin/cdsbib?1990RMxAA..21..381G" xr:uid="{00000000-0004-0000-0000-000004000000}"/>
    <hyperlink ref="AP876" r:id="rId6" display="http://cdsbib.u-strasbg.fr/cgi-bin/cdsbib?1990RMxAA..21..381G" xr:uid="{00000000-0004-0000-0000-000005000000}"/>
    <hyperlink ref="AP857" r:id="rId7" display="http://cdsbib.u-strasbg.fr/cgi-bin/cdsbib?1990RMxAA..21..381G" xr:uid="{00000000-0004-0000-0000-000006000000}"/>
    <hyperlink ref="I64729" r:id="rId8" display="http://vsolj.cetus-net.org/bulletin.html" xr:uid="{00000000-0004-0000-0000-000007000000}"/>
    <hyperlink ref="AQ1013" r:id="rId9" display="http://cdsbib.u-strasbg.fr/cgi-bin/cdsbib?1990RMxAA..21..381G" xr:uid="{00000000-0004-0000-0000-000008000000}"/>
    <hyperlink ref="AQ55779" r:id="rId10" display="http://cdsbib.u-strasbg.fr/cgi-bin/cdsbib?1990RMxAA..21..381G" xr:uid="{00000000-0004-0000-0000-000009000000}"/>
    <hyperlink ref="AQ1014" r:id="rId11" display="http://cdsbib.u-strasbg.fr/cgi-bin/cdsbib?1990RMxAA..21..381G" xr:uid="{00000000-0004-0000-0000-00000A000000}"/>
    <hyperlink ref="H64726" r:id="rId12" display="https://www.aavso.org/ejaavso" xr:uid="{00000000-0004-0000-0000-00000B000000}"/>
    <hyperlink ref="H1899" r:id="rId13" display="http://vsolj.cetus-net.org/bulletin.html" xr:uid="{00000000-0004-0000-0000-00000C000000}"/>
    <hyperlink ref="AP3143" r:id="rId14" display="http://cdsbib.u-strasbg.fr/cgi-bin/cdsbib?1990RMxAA..21..381G" xr:uid="{00000000-0004-0000-0000-00000D000000}"/>
    <hyperlink ref="AP3146" r:id="rId15" display="http://cdsbib.u-strasbg.fr/cgi-bin/cdsbib?1990RMxAA..21..381G" xr:uid="{00000000-0004-0000-0000-00000E000000}"/>
    <hyperlink ref="AP3144" r:id="rId16" display="http://cdsbib.u-strasbg.fr/cgi-bin/cdsbib?1990RMxAA..21..381G" xr:uid="{00000000-0004-0000-0000-00000F000000}"/>
    <hyperlink ref="AP3128" r:id="rId17" display="http://cdsbib.u-strasbg.fr/cgi-bin/cdsbib?1990RMxAA..21..381G" xr:uid="{00000000-0004-0000-0000-000010000000}"/>
    <hyperlink ref="I1899" r:id="rId18" display="http://vsolj.cetus-net.org/bulletin.html" xr:uid="{00000000-0004-0000-0000-000011000000}"/>
    <hyperlink ref="AQ3357" r:id="rId19" display="http://cdsbib.u-strasbg.fr/cgi-bin/cdsbib?1990RMxAA..21..381G" xr:uid="{00000000-0004-0000-0000-000012000000}"/>
    <hyperlink ref="AQ58" r:id="rId20" display="http://cdsbib.u-strasbg.fr/cgi-bin/cdsbib?1990RMxAA..21..381G" xr:uid="{00000000-0004-0000-0000-000013000000}"/>
    <hyperlink ref="AQ3361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57"/>
  <sheetViews>
    <sheetView workbookViewId="0">
      <selection activeCell="A19" sqref="A19:D37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2" t="s">
        <v>47</v>
      </c>
      <c r="I1" s="33" t="s">
        <v>48</v>
      </c>
      <c r="J1" s="34" t="s">
        <v>49</v>
      </c>
    </row>
    <row r="2" spans="1:16" x14ac:dyDescent="0.2">
      <c r="I2" s="35" t="s">
        <v>50</v>
      </c>
      <c r="J2" s="36" t="s">
        <v>51</v>
      </c>
    </row>
    <row r="3" spans="1:16" x14ac:dyDescent="0.2">
      <c r="A3" s="37" t="s">
        <v>52</v>
      </c>
      <c r="I3" s="35" t="s">
        <v>53</v>
      </c>
      <c r="J3" s="36" t="s">
        <v>54</v>
      </c>
    </row>
    <row r="4" spans="1:16" x14ac:dyDescent="0.2">
      <c r="I4" s="35" t="s">
        <v>55</v>
      </c>
      <c r="J4" s="36" t="s">
        <v>54</v>
      </c>
    </row>
    <row r="5" spans="1:16" ht="13.5" thickBot="1" x14ac:dyDescent="0.25">
      <c r="I5" s="38" t="s">
        <v>56</v>
      </c>
      <c r="J5" s="39" t="s">
        <v>57</v>
      </c>
    </row>
    <row r="10" spans="1:16" ht="13.5" thickBot="1" x14ac:dyDescent="0.25"/>
    <row r="11" spans="1:16" ht="12.75" customHeight="1" thickBot="1" x14ac:dyDescent="0.25">
      <c r="A11" s="10" t="str">
        <f t="shared" ref="A11:A37" si="0">P11</f>
        <v> BBS 44 </v>
      </c>
      <c r="B11" s="5" t="str">
        <f t="shared" ref="B11:B37" si="1">IF(H11=INT(H11),"I","II")</f>
        <v>I</v>
      </c>
      <c r="C11" s="10">
        <f t="shared" ref="C11:C37" si="2">1*G11</f>
        <v>44087.499000000003</v>
      </c>
      <c r="D11" s="12" t="str">
        <f t="shared" ref="D11:D37" si="3">VLOOKUP(F11,I$1:J$5,2,FALSE)</f>
        <v>vis</v>
      </c>
      <c r="E11" s="40">
        <f>VLOOKUP(C11,Active!C$21:E$972,3,FALSE)</f>
        <v>0</v>
      </c>
      <c r="F11" s="5" t="s">
        <v>56</v>
      </c>
      <c r="G11" s="12" t="str">
        <f t="shared" ref="G11:G37" si="4">MID(I11,3,LEN(I11)-3)</f>
        <v>44087.499</v>
      </c>
      <c r="H11" s="10">
        <f t="shared" ref="H11:H37" si="5">1*K11</f>
        <v>0</v>
      </c>
      <c r="I11" s="41" t="s">
        <v>130</v>
      </c>
      <c r="J11" s="42" t="s">
        <v>131</v>
      </c>
      <c r="K11" s="41">
        <v>0</v>
      </c>
      <c r="L11" s="41" t="s">
        <v>132</v>
      </c>
      <c r="M11" s="42" t="s">
        <v>133</v>
      </c>
      <c r="N11" s="42" t="s">
        <v>134</v>
      </c>
      <c r="O11" s="43" t="s">
        <v>135</v>
      </c>
      <c r="P11" s="43" t="s">
        <v>136</v>
      </c>
    </row>
    <row r="12" spans="1:16" ht="12.75" customHeight="1" thickBot="1" x14ac:dyDescent="0.25">
      <c r="A12" s="10" t="str">
        <f t="shared" si="0"/>
        <v>IBVS 4967 </v>
      </c>
      <c r="B12" s="5" t="str">
        <f t="shared" si="1"/>
        <v>II</v>
      </c>
      <c r="C12" s="10">
        <f t="shared" si="2"/>
        <v>51113.370999999999</v>
      </c>
      <c r="D12" s="12" t="str">
        <f t="shared" si="3"/>
        <v>vis</v>
      </c>
      <c r="E12" s="40">
        <f>VLOOKUP(C12,Active!C$21:E$972,3,FALSE)</f>
        <v>1439.0120845135259</v>
      </c>
      <c r="F12" s="5" t="s">
        <v>56</v>
      </c>
      <c r="G12" s="12" t="str">
        <f t="shared" si="4"/>
        <v>51113.371</v>
      </c>
      <c r="H12" s="10">
        <f t="shared" si="5"/>
        <v>1454.5</v>
      </c>
      <c r="I12" s="41" t="s">
        <v>142</v>
      </c>
      <c r="J12" s="42" t="s">
        <v>143</v>
      </c>
      <c r="K12" s="41">
        <v>1454.5</v>
      </c>
      <c r="L12" s="41" t="s">
        <v>144</v>
      </c>
      <c r="M12" s="42" t="s">
        <v>133</v>
      </c>
      <c r="N12" s="42" t="s">
        <v>134</v>
      </c>
      <c r="O12" s="43" t="s">
        <v>145</v>
      </c>
      <c r="P12" s="44" t="s">
        <v>146</v>
      </c>
    </row>
    <row r="13" spans="1:16" ht="12.75" customHeight="1" thickBot="1" x14ac:dyDescent="0.25">
      <c r="A13" s="10" t="str">
        <f t="shared" si="0"/>
        <v>IBVS 4967 </v>
      </c>
      <c r="B13" s="5" t="str">
        <f t="shared" si="1"/>
        <v>I</v>
      </c>
      <c r="C13" s="10">
        <f t="shared" si="2"/>
        <v>51381.45</v>
      </c>
      <c r="D13" s="12" t="str">
        <f t="shared" si="3"/>
        <v>vis</v>
      </c>
      <c r="E13" s="40">
        <f>VLOOKUP(C13,Active!C$21:E$972,3,FALSE)</f>
        <v>1510.0131999723653</v>
      </c>
      <c r="F13" s="5" t="s">
        <v>56</v>
      </c>
      <c r="G13" s="12" t="str">
        <f t="shared" si="4"/>
        <v>51381.450</v>
      </c>
      <c r="H13" s="10">
        <f t="shared" si="5"/>
        <v>1510</v>
      </c>
      <c r="I13" s="41" t="s">
        <v>147</v>
      </c>
      <c r="J13" s="42" t="s">
        <v>148</v>
      </c>
      <c r="K13" s="41">
        <v>1510</v>
      </c>
      <c r="L13" s="41" t="s">
        <v>149</v>
      </c>
      <c r="M13" s="42" t="s">
        <v>133</v>
      </c>
      <c r="N13" s="42" t="s">
        <v>134</v>
      </c>
      <c r="O13" s="43" t="s">
        <v>140</v>
      </c>
      <c r="P13" s="44" t="s">
        <v>146</v>
      </c>
    </row>
    <row r="14" spans="1:16" ht="12.75" customHeight="1" thickBot="1" x14ac:dyDescent="0.25">
      <c r="A14" s="10" t="str">
        <f t="shared" si="0"/>
        <v>IBVS 5206 </v>
      </c>
      <c r="B14" s="5" t="str">
        <f t="shared" si="1"/>
        <v>I</v>
      </c>
      <c r="C14" s="10">
        <f t="shared" si="2"/>
        <v>51840.335599999999</v>
      </c>
      <c r="D14" s="12" t="str">
        <f t="shared" si="3"/>
        <v>vis</v>
      </c>
      <c r="E14" s="40">
        <f>VLOOKUP(C14,Active!C$21:E$972,3,FALSE)</f>
        <v>1605.012921423365</v>
      </c>
      <c r="F14" s="5" t="s">
        <v>56</v>
      </c>
      <c r="G14" s="12" t="str">
        <f t="shared" si="4"/>
        <v>51840.3356</v>
      </c>
      <c r="H14" s="10">
        <f t="shared" si="5"/>
        <v>1605</v>
      </c>
      <c r="I14" s="41" t="s">
        <v>150</v>
      </c>
      <c r="J14" s="42" t="s">
        <v>151</v>
      </c>
      <c r="K14" s="41">
        <v>1605</v>
      </c>
      <c r="L14" s="41" t="s">
        <v>152</v>
      </c>
      <c r="M14" s="42" t="s">
        <v>133</v>
      </c>
      <c r="N14" s="42" t="s">
        <v>134</v>
      </c>
      <c r="O14" s="43" t="s">
        <v>140</v>
      </c>
      <c r="P14" s="44" t="s">
        <v>153</v>
      </c>
    </row>
    <row r="15" spans="1:16" ht="12.75" customHeight="1" thickBot="1" x14ac:dyDescent="0.25">
      <c r="A15" s="10" t="str">
        <f t="shared" si="0"/>
        <v>BAVM 186 </v>
      </c>
      <c r="B15" s="5" t="str">
        <f t="shared" si="1"/>
        <v>I</v>
      </c>
      <c r="C15" s="10">
        <f t="shared" si="2"/>
        <v>53999.546600000001</v>
      </c>
      <c r="D15" s="12" t="str">
        <f t="shared" si="3"/>
        <v>vis</v>
      </c>
      <c r="E15" s="40">
        <f>VLOOKUP(C15,Active!C$21:E$972,3,FALSE)</f>
        <v>2052.018544510981</v>
      </c>
      <c r="F15" s="5" t="s">
        <v>56</v>
      </c>
      <c r="G15" s="12" t="str">
        <f t="shared" si="4"/>
        <v>53999.5466</v>
      </c>
      <c r="H15" s="10">
        <f t="shared" si="5"/>
        <v>2052</v>
      </c>
      <c r="I15" s="41" t="s">
        <v>154</v>
      </c>
      <c r="J15" s="42" t="s">
        <v>155</v>
      </c>
      <c r="K15" s="41">
        <v>2052</v>
      </c>
      <c r="L15" s="41" t="s">
        <v>156</v>
      </c>
      <c r="M15" s="42" t="s">
        <v>157</v>
      </c>
      <c r="N15" s="42" t="s">
        <v>158</v>
      </c>
      <c r="O15" s="43" t="s">
        <v>159</v>
      </c>
      <c r="P15" s="44" t="s">
        <v>160</v>
      </c>
    </row>
    <row r="16" spans="1:16" ht="12.75" customHeight="1" thickBot="1" x14ac:dyDescent="0.25">
      <c r="A16" s="10" t="str">
        <f t="shared" si="0"/>
        <v>BAVM 183 </v>
      </c>
      <c r="B16" s="5" t="str">
        <f t="shared" si="1"/>
        <v>I</v>
      </c>
      <c r="C16" s="10">
        <f t="shared" si="2"/>
        <v>54062.343800000002</v>
      </c>
      <c r="D16" s="12" t="str">
        <f t="shared" si="3"/>
        <v>vis</v>
      </c>
      <c r="E16" s="40">
        <f>VLOOKUP(C16,Active!C$21:E$972,3,FALSE)</f>
        <v>2065.0189884296892</v>
      </c>
      <c r="F16" s="5" t="s">
        <v>56</v>
      </c>
      <c r="G16" s="12" t="str">
        <f t="shared" si="4"/>
        <v>54062.3438</v>
      </c>
      <c r="H16" s="10">
        <f t="shared" si="5"/>
        <v>2065</v>
      </c>
      <c r="I16" s="41" t="s">
        <v>161</v>
      </c>
      <c r="J16" s="42" t="s">
        <v>162</v>
      </c>
      <c r="K16" s="41" t="s">
        <v>163</v>
      </c>
      <c r="L16" s="41" t="s">
        <v>164</v>
      </c>
      <c r="M16" s="42" t="s">
        <v>157</v>
      </c>
      <c r="N16" s="42" t="s">
        <v>158</v>
      </c>
      <c r="O16" s="43" t="s">
        <v>165</v>
      </c>
      <c r="P16" s="44" t="s">
        <v>166</v>
      </c>
    </row>
    <row r="17" spans="1:16" ht="12.75" customHeight="1" thickBot="1" x14ac:dyDescent="0.25">
      <c r="A17" s="10" t="str">
        <f t="shared" si="0"/>
        <v>BAVM 234 </v>
      </c>
      <c r="B17" s="5" t="str">
        <f t="shared" si="1"/>
        <v>I</v>
      </c>
      <c r="C17" s="10">
        <f t="shared" si="2"/>
        <v>56540.367700000003</v>
      </c>
      <c r="D17" s="12" t="str">
        <f t="shared" si="3"/>
        <v>vis</v>
      </c>
      <c r="E17" s="40">
        <f>VLOOKUP(C17,Active!C$21:E$972,3,FALSE)</f>
        <v>2578.0261088294565</v>
      </c>
      <c r="F17" s="5" t="s">
        <v>56</v>
      </c>
      <c r="G17" s="12" t="str">
        <f t="shared" si="4"/>
        <v>56540.3677</v>
      </c>
      <c r="H17" s="10">
        <f t="shared" si="5"/>
        <v>2578</v>
      </c>
      <c r="I17" s="41" t="s">
        <v>177</v>
      </c>
      <c r="J17" s="42" t="s">
        <v>178</v>
      </c>
      <c r="K17" s="41" t="s">
        <v>179</v>
      </c>
      <c r="L17" s="41" t="s">
        <v>180</v>
      </c>
      <c r="M17" s="42" t="s">
        <v>157</v>
      </c>
      <c r="N17" s="42" t="s">
        <v>158</v>
      </c>
      <c r="O17" s="43" t="s">
        <v>171</v>
      </c>
      <c r="P17" s="44" t="s">
        <v>181</v>
      </c>
    </row>
    <row r="18" spans="1:16" ht="12.75" customHeight="1" thickBot="1" x14ac:dyDescent="0.25">
      <c r="A18" s="10" t="str">
        <f t="shared" si="0"/>
        <v>BAVM 239 </v>
      </c>
      <c r="B18" s="5" t="str">
        <f t="shared" si="1"/>
        <v>I</v>
      </c>
      <c r="C18" s="10">
        <f t="shared" si="2"/>
        <v>56907.477899999998</v>
      </c>
      <c r="D18" s="12" t="str">
        <f t="shared" si="3"/>
        <v>vis</v>
      </c>
      <c r="E18" s="40">
        <f>VLOOKUP(C18,Active!C$21:E$972,3,FALSE)</f>
        <v>2654.0262420692452</v>
      </c>
      <c r="F18" s="5" t="s">
        <v>56</v>
      </c>
      <c r="G18" s="12" t="str">
        <f t="shared" si="4"/>
        <v>56907.4779</v>
      </c>
      <c r="H18" s="10">
        <f t="shared" si="5"/>
        <v>2654</v>
      </c>
      <c r="I18" s="41" t="s">
        <v>182</v>
      </c>
      <c r="J18" s="42" t="s">
        <v>183</v>
      </c>
      <c r="K18" s="41" t="s">
        <v>184</v>
      </c>
      <c r="L18" s="41" t="s">
        <v>185</v>
      </c>
      <c r="M18" s="42" t="s">
        <v>157</v>
      </c>
      <c r="N18" s="42" t="s">
        <v>158</v>
      </c>
      <c r="O18" s="43" t="s">
        <v>171</v>
      </c>
      <c r="P18" s="44" t="s">
        <v>186</v>
      </c>
    </row>
    <row r="19" spans="1:16" ht="12.75" customHeight="1" thickBot="1" x14ac:dyDescent="0.25">
      <c r="A19" s="10" t="str">
        <f t="shared" si="0"/>
        <v> PZ 3.52 </v>
      </c>
      <c r="B19" s="5" t="str">
        <f t="shared" si="1"/>
        <v>I</v>
      </c>
      <c r="C19" s="10">
        <f t="shared" si="2"/>
        <v>15617.342000000001</v>
      </c>
      <c r="D19" s="12" t="str">
        <f t="shared" si="3"/>
        <v>vis</v>
      </c>
      <c r="E19" s="40">
        <f>VLOOKUP(C19,Active!C$21:E$972,3,FALSE)</f>
        <v>-5893.9678749261793</v>
      </c>
      <c r="F19" s="5" t="s">
        <v>56</v>
      </c>
      <c r="G19" s="12" t="str">
        <f t="shared" si="4"/>
        <v>15617.342</v>
      </c>
      <c r="H19" s="10">
        <f t="shared" si="5"/>
        <v>-5894</v>
      </c>
      <c r="I19" s="41" t="s">
        <v>59</v>
      </c>
      <c r="J19" s="42" t="s">
        <v>60</v>
      </c>
      <c r="K19" s="41">
        <v>-5894</v>
      </c>
      <c r="L19" s="41" t="s">
        <v>61</v>
      </c>
      <c r="M19" s="42" t="s">
        <v>58</v>
      </c>
      <c r="N19" s="42"/>
      <c r="O19" s="43" t="s">
        <v>62</v>
      </c>
      <c r="P19" s="43" t="s">
        <v>63</v>
      </c>
    </row>
    <row r="20" spans="1:16" ht="12.75" customHeight="1" thickBot="1" x14ac:dyDescent="0.25">
      <c r="A20" s="10" t="str">
        <f t="shared" si="0"/>
        <v> NNVS 29/30 </v>
      </c>
      <c r="B20" s="5" t="str">
        <f t="shared" si="1"/>
        <v>I</v>
      </c>
      <c r="C20" s="10">
        <f t="shared" si="2"/>
        <v>23597.03</v>
      </c>
      <c r="D20" s="12" t="str">
        <f t="shared" si="3"/>
        <v>vis</v>
      </c>
      <c r="E20" s="40">
        <f>VLOOKUP(C20,Active!C$21:E$972,3,FALSE)</f>
        <v>-4241.99157132048</v>
      </c>
      <c r="F20" s="5" t="s">
        <v>56</v>
      </c>
      <c r="G20" s="12" t="str">
        <f t="shared" si="4"/>
        <v>23597.030</v>
      </c>
      <c r="H20" s="10">
        <f t="shared" si="5"/>
        <v>-4242</v>
      </c>
      <c r="I20" s="41" t="s">
        <v>64</v>
      </c>
      <c r="J20" s="42" t="s">
        <v>65</v>
      </c>
      <c r="K20" s="41">
        <v>-4242</v>
      </c>
      <c r="L20" s="41" t="s">
        <v>66</v>
      </c>
      <c r="M20" s="42" t="s">
        <v>58</v>
      </c>
      <c r="N20" s="42"/>
      <c r="O20" s="43" t="s">
        <v>62</v>
      </c>
      <c r="P20" s="43" t="s">
        <v>67</v>
      </c>
    </row>
    <row r="21" spans="1:16" ht="12.75" customHeight="1" thickBot="1" x14ac:dyDescent="0.25">
      <c r="A21" s="10" t="str">
        <f t="shared" si="0"/>
        <v> PZ 5.184 </v>
      </c>
      <c r="B21" s="5" t="str">
        <f t="shared" si="1"/>
        <v>I</v>
      </c>
      <c r="C21" s="10">
        <f t="shared" si="2"/>
        <v>24616.35</v>
      </c>
      <c r="D21" s="12" t="str">
        <f t="shared" si="3"/>
        <v>vis</v>
      </c>
      <c r="E21" s="40">
        <f>VLOOKUP(C21,Active!C$21:E$972,3,FALSE)</f>
        <v>-4030.969224858894</v>
      </c>
      <c r="F21" s="5" t="s">
        <v>56</v>
      </c>
      <c r="G21" s="12" t="str">
        <f t="shared" si="4"/>
        <v>24616.35</v>
      </c>
      <c r="H21" s="10">
        <f t="shared" si="5"/>
        <v>-4031</v>
      </c>
      <c r="I21" s="41" t="s">
        <v>68</v>
      </c>
      <c r="J21" s="42" t="s">
        <v>69</v>
      </c>
      <c r="K21" s="41">
        <v>-4031</v>
      </c>
      <c r="L21" s="41" t="s">
        <v>70</v>
      </c>
      <c r="M21" s="42" t="s">
        <v>71</v>
      </c>
      <c r="N21" s="42"/>
      <c r="O21" s="43" t="s">
        <v>72</v>
      </c>
      <c r="P21" s="43" t="s">
        <v>73</v>
      </c>
    </row>
    <row r="22" spans="1:16" ht="12.75" customHeight="1" thickBot="1" x14ac:dyDescent="0.25">
      <c r="A22" s="10" t="str">
        <f t="shared" si="0"/>
        <v> KVBB 4.10 </v>
      </c>
      <c r="B22" s="5" t="str">
        <f t="shared" si="1"/>
        <v>I</v>
      </c>
      <c r="C22" s="10">
        <f t="shared" si="2"/>
        <v>24775.597000000002</v>
      </c>
      <c r="D22" s="12" t="str">
        <f t="shared" si="3"/>
        <v>vis</v>
      </c>
      <c r="E22" s="40">
        <f>VLOOKUP(C22,Active!C$21:E$972,3,FALSE)</f>
        <v>-3998.0014859673106</v>
      </c>
      <c r="F22" s="5" t="s">
        <v>56</v>
      </c>
      <c r="G22" s="12" t="str">
        <f t="shared" si="4"/>
        <v>24775.597</v>
      </c>
      <c r="H22" s="10">
        <f t="shared" si="5"/>
        <v>-3998</v>
      </c>
      <c r="I22" s="41" t="s">
        <v>74</v>
      </c>
      <c r="J22" s="42" t="s">
        <v>75</v>
      </c>
      <c r="K22" s="41">
        <v>-3998</v>
      </c>
      <c r="L22" s="41" t="s">
        <v>76</v>
      </c>
      <c r="M22" s="42" t="s">
        <v>58</v>
      </c>
      <c r="N22" s="42"/>
      <c r="O22" s="43" t="s">
        <v>77</v>
      </c>
      <c r="P22" s="43" t="s">
        <v>78</v>
      </c>
    </row>
    <row r="23" spans="1:16" ht="12.75" customHeight="1" thickBot="1" x14ac:dyDescent="0.25">
      <c r="A23" s="10" t="str">
        <f t="shared" si="0"/>
        <v> AAC 1.118 </v>
      </c>
      <c r="B23" s="5" t="str">
        <f t="shared" si="1"/>
        <v>I</v>
      </c>
      <c r="C23" s="10">
        <f t="shared" si="2"/>
        <v>25094.457999999999</v>
      </c>
      <c r="D23" s="12" t="str">
        <f t="shared" si="3"/>
        <v>vis</v>
      </c>
      <c r="E23" s="40">
        <f>VLOOKUP(C23,Active!C$21:E$972,3,FALSE)</f>
        <v>-3931.9900308648034</v>
      </c>
      <c r="F23" s="5" t="s">
        <v>56</v>
      </c>
      <c r="G23" s="12" t="str">
        <f t="shared" si="4"/>
        <v>25094.458</v>
      </c>
      <c r="H23" s="10">
        <f t="shared" si="5"/>
        <v>-3932</v>
      </c>
      <c r="I23" s="41" t="s">
        <v>79</v>
      </c>
      <c r="J23" s="42" t="s">
        <v>80</v>
      </c>
      <c r="K23" s="41">
        <v>-3932</v>
      </c>
      <c r="L23" s="41" t="s">
        <v>81</v>
      </c>
      <c r="M23" s="42" t="s">
        <v>82</v>
      </c>
      <c r="N23" s="42"/>
      <c r="O23" s="43" t="s">
        <v>83</v>
      </c>
      <c r="P23" s="43" t="s">
        <v>84</v>
      </c>
    </row>
    <row r="24" spans="1:16" ht="12.75" customHeight="1" thickBot="1" x14ac:dyDescent="0.25">
      <c r="A24" s="10" t="str">
        <f t="shared" si="0"/>
        <v> AN 235.303 </v>
      </c>
      <c r="B24" s="5" t="str">
        <f t="shared" si="1"/>
        <v>I</v>
      </c>
      <c r="C24" s="10">
        <f t="shared" si="2"/>
        <v>25123.39</v>
      </c>
      <c r="D24" s="12" t="str">
        <f t="shared" si="3"/>
        <v>vis</v>
      </c>
      <c r="E24" s="40">
        <f>VLOOKUP(C24,Active!C$21:E$972,3,FALSE)</f>
        <v>-3926.0004510195863</v>
      </c>
      <c r="F24" s="5" t="s">
        <v>56</v>
      </c>
      <c r="G24" s="12" t="str">
        <f t="shared" si="4"/>
        <v>25123.390</v>
      </c>
      <c r="H24" s="10">
        <f t="shared" si="5"/>
        <v>-3926</v>
      </c>
      <c r="I24" s="41" t="s">
        <v>85</v>
      </c>
      <c r="J24" s="42" t="s">
        <v>86</v>
      </c>
      <c r="K24" s="41">
        <v>-3926</v>
      </c>
      <c r="L24" s="41" t="s">
        <v>87</v>
      </c>
      <c r="M24" s="42" t="s">
        <v>82</v>
      </c>
      <c r="N24" s="42"/>
      <c r="O24" s="43" t="s">
        <v>88</v>
      </c>
      <c r="P24" s="43" t="s">
        <v>89</v>
      </c>
    </row>
    <row r="25" spans="1:16" ht="12.75" customHeight="1" thickBot="1" x14ac:dyDescent="0.25">
      <c r="A25" s="10" t="str">
        <f t="shared" si="0"/>
        <v> PZ 5.184 </v>
      </c>
      <c r="B25" s="5" t="str">
        <f t="shared" si="1"/>
        <v>I</v>
      </c>
      <c r="C25" s="10">
        <f t="shared" si="2"/>
        <v>25176.46</v>
      </c>
      <c r="D25" s="12" t="str">
        <f t="shared" si="3"/>
        <v>vis</v>
      </c>
      <c r="E25" s="40">
        <f>VLOOKUP(C25,Active!C$21:E$972,3,FALSE)</f>
        <v>-3915.0137580019705</v>
      </c>
      <c r="F25" s="5" t="s">
        <v>56</v>
      </c>
      <c r="G25" s="12" t="str">
        <f t="shared" si="4"/>
        <v>25176.46</v>
      </c>
      <c r="H25" s="10">
        <f t="shared" si="5"/>
        <v>-3915</v>
      </c>
      <c r="I25" s="41" t="s">
        <v>90</v>
      </c>
      <c r="J25" s="42" t="s">
        <v>91</v>
      </c>
      <c r="K25" s="41">
        <v>-3915</v>
      </c>
      <c r="L25" s="41" t="s">
        <v>92</v>
      </c>
      <c r="M25" s="42" t="s">
        <v>71</v>
      </c>
      <c r="N25" s="42"/>
      <c r="O25" s="43" t="s">
        <v>72</v>
      </c>
      <c r="P25" s="43" t="s">
        <v>73</v>
      </c>
    </row>
    <row r="26" spans="1:16" ht="12.75" customHeight="1" thickBot="1" x14ac:dyDescent="0.25">
      <c r="A26" s="10" t="str">
        <f t="shared" si="0"/>
        <v> AAC 1.119 </v>
      </c>
      <c r="B26" s="5" t="str">
        <f t="shared" si="1"/>
        <v>I</v>
      </c>
      <c r="C26" s="10">
        <f t="shared" si="2"/>
        <v>25437.4</v>
      </c>
      <c r="D26" s="12" t="str">
        <f t="shared" si="3"/>
        <v>vis</v>
      </c>
      <c r="E26" s="40">
        <f>VLOOKUP(C26,Active!C$21:E$972,3,FALSE)</f>
        <v>-3860.9932628820015</v>
      </c>
      <c r="F26" s="5" t="s">
        <v>56</v>
      </c>
      <c r="G26" s="12" t="str">
        <f t="shared" si="4"/>
        <v>25437.40</v>
      </c>
      <c r="H26" s="10">
        <f t="shared" si="5"/>
        <v>-3861</v>
      </c>
      <c r="I26" s="41" t="s">
        <v>93</v>
      </c>
      <c r="J26" s="42" t="s">
        <v>94</v>
      </c>
      <c r="K26" s="41">
        <v>-3861</v>
      </c>
      <c r="L26" s="41" t="s">
        <v>95</v>
      </c>
      <c r="M26" s="42" t="s">
        <v>82</v>
      </c>
      <c r="N26" s="42"/>
      <c r="O26" s="43" t="s">
        <v>96</v>
      </c>
      <c r="P26" s="43" t="s">
        <v>97</v>
      </c>
    </row>
    <row r="27" spans="1:16" ht="12.75" customHeight="1" thickBot="1" x14ac:dyDescent="0.25">
      <c r="A27" s="10" t="str">
        <f t="shared" si="0"/>
        <v> HB 917.7 </v>
      </c>
      <c r="B27" s="5" t="str">
        <f t="shared" si="1"/>
        <v>I</v>
      </c>
      <c r="C27" s="10">
        <f t="shared" si="2"/>
        <v>25524.3</v>
      </c>
      <c r="D27" s="12" t="str">
        <f t="shared" si="3"/>
        <v>vis</v>
      </c>
      <c r="E27" s="40">
        <f>VLOOKUP(C27,Active!C$21:E$972,3,FALSE)</f>
        <v>-3843.0029929888265</v>
      </c>
      <c r="F27" s="5" t="s">
        <v>56</v>
      </c>
      <c r="G27" s="12" t="str">
        <f t="shared" si="4"/>
        <v>25524.300</v>
      </c>
      <c r="H27" s="10">
        <f t="shared" si="5"/>
        <v>-3843</v>
      </c>
      <c r="I27" s="41" t="s">
        <v>98</v>
      </c>
      <c r="J27" s="42" t="s">
        <v>99</v>
      </c>
      <c r="K27" s="41">
        <v>-3843</v>
      </c>
      <c r="L27" s="41" t="s">
        <v>100</v>
      </c>
      <c r="M27" s="42" t="s">
        <v>58</v>
      </c>
      <c r="N27" s="42"/>
      <c r="O27" s="43" t="s">
        <v>101</v>
      </c>
      <c r="P27" s="43" t="s">
        <v>102</v>
      </c>
    </row>
    <row r="28" spans="1:16" ht="12.75" customHeight="1" thickBot="1" x14ac:dyDescent="0.25">
      <c r="A28" s="10" t="str">
        <f t="shared" si="0"/>
        <v> AN 235.303 </v>
      </c>
      <c r="B28" s="5" t="str">
        <f t="shared" si="1"/>
        <v>I</v>
      </c>
      <c r="C28" s="10">
        <f t="shared" si="2"/>
        <v>25524.313999999998</v>
      </c>
      <c r="D28" s="12" t="str">
        <f t="shared" si="3"/>
        <v>vis</v>
      </c>
      <c r="E28" s="40">
        <f>VLOOKUP(C28,Active!C$21:E$972,3,FALSE)</f>
        <v>-3843.0000946714672</v>
      </c>
      <c r="F28" s="5" t="s">
        <v>56</v>
      </c>
      <c r="G28" s="12" t="str">
        <f t="shared" si="4"/>
        <v>25524.314</v>
      </c>
      <c r="H28" s="10">
        <f t="shared" si="5"/>
        <v>-3843</v>
      </c>
      <c r="I28" s="41" t="s">
        <v>103</v>
      </c>
      <c r="J28" s="42" t="s">
        <v>104</v>
      </c>
      <c r="K28" s="41">
        <v>-3843</v>
      </c>
      <c r="L28" s="41" t="s">
        <v>105</v>
      </c>
      <c r="M28" s="42" t="s">
        <v>82</v>
      </c>
      <c r="N28" s="42"/>
      <c r="O28" s="43" t="s">
        <v>88</v>
      </c>
      <c r="P28" s="43" t="s">
        <v>89</v>
      </c>
    </row>
    <row r="29" spans="1:16" ht="12.75" customHeight="1" thickBot="1" x14ac:dyDescent="0.25">
      <c r="A29" s="10" t="str">
        <f t="shared" si="0"/>
        <v> TTAO 9.32 </v>
      </c>
      <c r="B29" s="5" t="str">
        <f t="shared" si="1"/>
        <v>I</v>
      </c>
      <c r="C29" s="10">
        <f t="shared" si="2"/>
        <v>29397.96</v>
      </c>
      <c r="D29" s="12" t="str">
        <f t="shared" si="3"/>
        <v>vis</v>
      </c>
      <c r="E29" s="40">
        <f>VLOOKUP(C29,Active!C$21:E$972,3,FALSE)</f>
        <v>-3041.0675629036837</v>
      </c>
      <c r="F29" s="5" t="s">
        <v>56</v>
      </c>
      <c r="G29" s="12" t="str">
        <f t="shared" si="4"/>
        <v>29397.960</v>
      </c>
      <c r="H29" s="10">
        <f t="shared" si="5"/>
        <v>-3041</v>
      </c>
      <c r="I29" s="41" t="s">
        <v>106</v>
      </c>
      <c r="J29" s="42" t="s">
        <v>107</v>
      </c>
      <c r="K29" s="41">
        <v>-3041</v>
      </c>
      <c r="L29" s="41" t="s">
        <v>108</v>
      </c>
      <c r="M29" s="42" t="s">
        <v>58</v>
      </c>
      <c r="N29" s="42"/>
      <c r="O29" s="43" t="s">
        <v>109</v>
      </c>
      <c r="P29" s="43" t="s">
        <v>110</v>
      </c>
    </row>
    <row r="30" spans="1:16" ht="12.75" customHeight="1" thickBot="1" x14ac:dyDescent="0.25">
      <c r="A30" s="10" t="str">
        <f t="shared" si="0"/>
        <v> TTAO 9.32 </v>
      </c>
      <c r="B30" s="5" t="str">
        <f t="shared" si="1"/>
        <v>I</v>
      </c>
      <c r="C30" s="10">
        <f t="shared" si="2"/>
        <v>29422.492999999999</v>
      </c>
      <c r="D30" s="12" t="str">
        <f t="shared" si="3"/>
        <v>vis</v>
      </c>
      <c r="E30" s="40">
        <f>VLOOKUP(C30,Active!C$21:E$972,3,FALSE)</f>
        <v>-3035.9886757772247</v>
      </c>
      <c r="F30" s="5" t="s">
        <v>56</v>
      </c>
      <c r="G30" s="12" t="str">
        <f t="shared" si="4"/>
        <v>29422.493</v>
      </c>
      <c r="H30" s="10">
        <f t="shared" si="5"/>
        <v>-3036</v>
      </c>
      <c r="I30" s="41" t="s">
        <v>111</v>
      </c>
      <c r="J30" s="42" t="s">
        <v>112</v>
      </c>
      <c r="K30" s="41">
        <v>-3036</v>
      </c>
      <c r="L30" s="41" t="s">
        <v>113</v>
      </c>
      <c r="M30" s="42" t="s">
        <v>58</v>
      </c>
      <c r="N30" s="42"/>
      <c r="O30" s="43" t="s">
        <v>109</v>
      </c>
      <c r="P30" s="43" t="s">
        <v>110</v>
      </c>
    </row>
    <row r="31" spans="1:16" ht="12.75" customHeight="1" thickBot="1" x14ac:dyDescent="0.25">
      <c r="A31" s="10" t="str">
        <f t="shared" si="0"/>
        <v> HA 113.73 </v>
      </c>
      <c r="B31" s="5" t="str">
        <f t="shared" si="1"/>
        <v>I</v>
      </c>
      <c r="C31" s="10">
        <f t="shared" si="2"/>
        <v>29972.81</v>
      </c>
      <c r="D31" s="12" t="str">
        <f t="shared" si="3"/>
        <v>vis</v>
      </c>
      <c r="E31" s="40">
        <f>VLOOKUP(C31,Active!C$21:E$972,3,FALSE)</f>
        <v>-2922.0605819129805</v>
      </c>
      <c r="F31" s="5" t="s">
        <v>56</v>
      </c>
      <c r="G31" s="12" t="str">
        <f t="shared" si="4"/>
        <v>29972.810</v>
      </c>
      <c r="H31" s="10">
        <f t="shared" si="5"/>
        <v>-2922</v>
      </c>
      <c r="I31" s="41" t="s">
        <v>114</v>
      </c>
      <c r="J31" s="42" t="s">
        <v>115</v>
      </c>
      <c r="K31" s="41">
        <v>-2922</v>
      </c>
      <c r="L31" s="41" t="s">
        <v>116</v>
      </c>
      <c r="M31" s="42" t="s">
        <v>58</v>
      </c>
      <c r="N31" s="42"/>
      <c r="O31" s="43" t="s">
        <v>117</v>
      </c>
      <c r="P31" s="43" t="s">
        <v>118</v>
      </c>
    </row>
    <row r="32" spans="1:16" ht="12.75" customHeight="1" thickBot="1" x14ac:dyDescent="0.25">
      <c r="A32" s="10" t="str">
        <f t="shared" si="0"/>
        <v> TTAO 9.32 </v>
      </c>
      <c r="B32" s="5" t="str">
        <f t="shared" si="1"/>
        <v>II</v>
      </c>
      <c r="C32" s="10">
        <f t="shared" si="2"/>
        <v>34139.400999999998</v>
      </c>
      <c r="D32" s="12" t="str">
        <f t="shared" si="3"/>
        <v>vis</v>
      </c>
      <c r="E32" s="40">
        <f>VLOOKUP(C32,Active!C$21:E$972,3,FALSE)</f>
        <v>-2059.4817945196928</v>
      </c>
      <c r="F32" s="5" t="s">
        <v>56</v>
      </c>
      <c r="G32" s="12" t="str">
        <f t="shared" si="4"/>
        <v>34139.401</v>
      </c>
      <c r="H32" s="10">
        <f t="shared" si="5"/>
        <v>-2059.5</v>
      </c>
      <c r="I32" s="41" t="s">
        <v>119</v>
      </c>
      <c r="J32" s="42" t="s">
        <v>120</v>
      </c>
      <c r="K32" s="41">
        <v>-2059.5</v>
      </c>
      <c r="L32" s="41" t="s">
        <v>121</v>
      </c>
      <c r="M32" s="42" t="s">
        <v>58</v>
      </c>
      <c r="N32" s="42"/>
      <c r="O32" s="43" t="s">
        <v>109</v>
      </c>
      <c r="P32" s="43" t="s">
        <v>110</v>
      </c>
    </row>
    <row r="33" spans="1:16" ht="12.75" customHeight="1" thickBot="1" x14ac:dyDescent="0.25">
      <c r="A33" s="10" t="str">
        <f t="shared" si="0"/>
        <v> TTAO 9.32 </v>
      </c>
      <c r="B33" s="5" t="str">
        <f t="shared" si="1"/>
        <v>I</v>
      </c>
      <c r="C33" s="10">
        <f t="shared" si="2"/>
        <v>34238.438999999998</v>
      </c>
      <c r="D33" s="12" t="str">
        <f t="shared" si="3"/>
        <v>vis</v>
      </c>
      <c r="E33" s="40">
        <f>VLOOKUP(C33,Active!C$21:E$972,3,FALSE)</f>
        <v>-2038.9786834761908</v>
      </c>
      <c r="F33" s="5" t="s">
        <v>56</v>
      </c>
      <c r="G33" s="12" t="str">
        <f t="shared" si="4"/>
        <v>34238.439</v>
      </c>
      <c r="H33" s="10">
        <f t="shared" si="5"/>
        <v>-2039</v>
      </c>
      <c r="I33" s="41" t="s">
        <v>122</v>
      </c>
      <c r="J33" s="42" t="s">
        <v>123</v>
      </c>
      <c r="K33" s="41">
        <v>-2039</v>
      </c>
      <c r="L33" s="41" t="s">
        <v>124</v>
      </c>
      <c r="M33" s="42" t="s">
        <v>58</v>
      </c>
      <c r="N33" s="42"/>
      <c r="O33" s="43" t="s">
        <v>109</v>
      </c>
      <c r="P33" s="43" t="s">
        <v>110</v>
      </c>
    </row>
    <row r="34" spans="1:16" ht="12.75" customHeight="1" thickBot="1" x14ac:dyDescent="0.25">
      <c r="A34" s="10" t="str">
        <f t="shared" si="0"/>
        <v> MVS 706 </v>
      </c>
      <c r="B34" s="5" t="str">
        <f t="shared" si="1"/>
        <v>I</v>
      </c>
      <c r="C34" s="10">
        <f t="shared" si="2"/>
        <v>37542.330999999998</v>
      </c>
      <c r="D34" s="12" t="str">
        <f t="shared" si="3"/>
        <v>vis</v>
      </c>
      <c r="E34" s="40">
        <f>VLOOKUP(C34,Active!C$21:E$972,3,FALSE)</f>
        <v>-1354.9981451804026</v>
      </c>
      <c r="F34" s="5" t="s">
        <v>56</v>
      </c>
      <c r="G34" s="12" t="str">
        <f t="shared" si="4"/>
        <v>37542.331</v>
      </c>
      <c r="H34" s="10">
        <f t="shared" si="5"/>
        <v>-1355</v>
      </c>
      <c r="I34" s="41" t="s">
        <v>125</v>
      </c>
      <c r="J34" s="42" t="s">
        <v>126</v>
      </c>
      <c r="K34" s="41">
        <v>-1355</v>
      </c>
      <c r="L34" s="41" t="s">
        <v>127</v>
      </c>
      <c r="M34" s="42" t="s">
        <v>58</v>
      </c>
      <c r="N34" s="42"/>
      <c r="O34" s="43" t="s">
        <v>128</v>
      </c>
      <c r="P34" s="43" t="s">
        <v>129</v>
      </c>
    </row>
    <row r="35" spans="1:16" ht="12.75" customHeight="1" thickBot="1" x14ac:dyDescent="0.25">
      <c r="A35" s="10" t="str">
        <f t="shared" si="0"/>
        <v>IBVS 4633/4653 </v>
      </c>
      <c r="B35" s="5" t="str">
        <f t="shared" si="1"/>
        <v>I</v>
      </c>
      <c r="C35" s="10">
        <f t="shared" si="2"/>
        <v>51038.485000000001</v>
      </c>
      <c r="D35" s="12" t="str">
        <f t="shared" si="3"/>
        <v>vis</v>
      </c>
      <c r="E35" s="40" t="e">
        <f>VLOOKUP(C35,Active!C$21:E$972,3,FALSE)</f>
        <v>#N/A</v>
      </c>
      <c r="F35" s="5" t="s">
        <v>56</v>
      </c>
      <c r="G35" s="12" t="str">
        <f t="shared" si="4"/>
        <v>51038.485</v>
      </c>
      <c r="H35" s="10">
        <f t="shared" si="5"/>
        <v>1439</v>
      </c>
      <c r="I35" s="41" t="s">
        <v>137</v>
      </c>
      <c r="J35" s="42" t="s">
        <v>138</v>
      </c>
      <c r="K35" s="41">
        <v>1439</v>
      </c>
      <c r="L35" s="41" t="s">
        <v>139</v>
      </c>
      <c r="M35" s="42" t="s">
        <v>133</v>
      </c>
      <c r="N35" s="42" t="s">
        <v>134</v>
      </c>
      <c r="O35" s="43" t="s">
        <v>140</v>
      </c>
      <c r="P35" s="44" t="s">
        <v>141</v>
      </c>
    </row>
    <row r="36" spans="1:16" ht="12.75" customHeight="1" thickBot="1" x14ac:dyDescent="0.25">
      <c r="A36" s="10" t="str">
        <f t="shared" si="0"/>
        <v>BAVM 212 </v>
      </c>
      <c r="B36" s="5" t="str">
        <f t="shared" si="1"/>
        <v>I</v>
      </c>
      <c r="C36" s="10">
        <f t="shared" si="2"/>
        <v>55081.568700000003</v>
      </c>
      <c r="D36" s="12" t="str">
        <f t="shared" si="3"/>
        <v>vis</v>
      </c>
      <c r="E36" s="40">
        <f>VLOOKUP(C36,Active!C$21:E$972,3,FALSE)</f>
        <v>2276.0216470355008</v>
      </c>
      <c r="F36" s="5" t="s">
        <v>56</v>
      </c>
      <c r="G36" s="12" t="str">
        <f t="shared" si="4"/>
        <v>55081.5687</v>
      </c>
      <c r="H36" s="10">
        <f t="shared" si="5"/>
        <v>2276</v>
      </c>
      <c r="I36" s="41" t="s">
        <v>167</v>
      </c>
      <c r="J36" s="42" t="s">
        <v>168</v>
      </c>
      <c r="K36" s="41" t="s">
        <v>169</v>
      </c>
      <c r="L36" s="41" t="s">
        <v>170</v>
      </c>
      <c r="M36" s="42" t="s">
        <v>157</v>
      </c>
      <c r="N36" s="42" t="s">
        <v>158</v>
      </c>
      <c r="O36" s="43" t="s">
        <v>171</v>
      </c>
      <c r="P36" s="44" t="s">
        <v>172</v>
      </c>
    </row>
    <row r="37" spans="1:16" ht="12.75" customHeight="1" thickBot="1" x14ac:dyDescent="0.25">
      <c r="A37" s="10" t="str">
        <f t="shared" si="0"/>
        <v>BAVM 212 </v>
      </c>
      <c r="B37" s="5" t="str">
        <f t="shared" si="1"/>
        <v>II</v>
      </c>
      <c r="C37" s="10">
        <f t="shared" si="2"/>
        <v>55098.481099999997</v>
      </c>
      <c r="D37" s="12" t="str">
        <f t="shared" si="3"/>
        <v>vis</v>
      </c>
      <c r="E37" s="40">
        <f>VLOOKUP(C37,Active!C$21:E$972,3,FALSE)</f>
        <v>2279.5228972143409</v>
      </c>
      <c r="F37" s="5" t="s">
        <v>56</v>
      </c>
      <c r="G37" s="12" t="str">
        <f t="shared" si="4"/>
        <v>55098.4811</v>
      </c>
      <c r="H37" s="10">
        <f t="shared" si="5"/>
        <v>2279.5</v>
      </c>
      <c r="I37" s="41" t="s">
        <v>173</v>
      </c>
      <c r="J37" s="42" t="s">
        <v>174</v>
      </c>
      <c r="K37" s="41" t="s">
        <v>175</v>
      </c>
      <c r="L37" s="41" t="s">
        <v>176</v>
      </c>
      <c r="M37" s="42" t="s">
        <v>157</v>
      </c>
      <c r="N37" s="42" t="s">
        <v>158</v>
      </c>
      <c r="O37" s="43" t="s">
        <v>171</v>
      </c>
      <c r="P37" s="44" t="s">
        <v>172</v>
      </c>
    </row>
    <row r="38" spans="1:16" x14ac:dyDescent="0.2">
      <c r="B38" s="5"/>
      <c r="F38" s="5"/>
    </row>
    <row r="39" spans="1:16" x14ac:dyDescent="0.2">
      <c r="B39" s="5"/>
      <c r="F39" s="5"/>
    </row>
    <row r="40" spans="1:16" x14ac:dyDescent="0.2">
      <c r="B40" s="5"/>
      <c r="F40" s="5"/>
    </row>
    <row r="41" spans="1:16" x14ac:dyDescent="0.2">
      <c r="B41" s="5"/>
      <c r="F41" s="5"/>
    </row>
    <row r="42" spans="1:16" x14ac:dyDescent="0.2">
      <c r="B42" s="5"/>
      <c r="F42" s="5"/>
    </row>
    <row r="43" spans="1:16" x14ac:dyDescent="0.2">
      <c r="B43" s="5"/>
      <c r="F43" s="5"/>
    </row>
    <row r="44" spans="1:16" x14ac:dyDescent="0.2">
      <c r="B44" s="5"/>
      <c r="F44" s="5"/>
    </row>
    <row r="45" spans="1:16" x14ac:dyDescent="0.2">
      <c r="B45" s="5"/>
      <c r="F45" s="5"/>
    </row>
    <row r="46" spans="1:16" x14ac:dyDescent="0.2">
      <c r="B46" s="5"/>
      <c r="F46" s="5"/>
    </row>
    <row r="47" spans="1:16" x14ac:dyDescent="0.2">
      <c r="B47" s="5"/>
      <c r="F47" s="5"/>
    </row>
    <row r="48" spans="1:1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</sheetData>
  <phoneticPr fontId="16" type="noConversion"/>
  <hyperlinks>
    <hyperlink ref="P35" r:id="rId1" display="http://www.konkoly.hu/cgi-bin/IBVS?4633" xr:uid="{00000000-0004-0000-0100-000000000000}"/>
    <hyperlink ref="P12" r:id="rId2" display="http://www.konkoly.hu/cgi-bin/IBVS?4967" xr:uid="{00000000-0004-0000-0100-000001000000}"/>
    <hyperlink ref="P13" r:id="rId3" display="http://www.konkoly.hu/cgi-bin/IBVS?4967" xr:uid="{00000000-0004-0000-0100-000002000000}"/>
    <hyperlink ref="P14" r:id="rId4" display="http://www.konkoly.hu/cgi-bin/IBVS?5206" xr:uid="{00000000-0004-0000-0100-000003000000}"/>
    <hyperlink ref="P15" r:id="rId5" display="http://www.bav-astro.de/sfs/BAVM_link.php?BAVMnr=186" xr:uid="{00000000-0004-0000-0100-000004000000}"/>
    <hyperlink ref="P16" r:id="rId6" display="http://www.bav-astro.de/sfs/BAVM_link.php?BAVMnr=183" xr:uid="{00000000-0004-0000-0100-000005000000}"/>
    <hyperlink ref="P36" r:id="rId7" display="http://www.bav-astro.de/sfs/BAVM_link.php?BAVMnr=212" xr:uid="{00000000-0004-0000-0100-000006000000}"/>
    <hyperlink ref="P37" r:id="rId8" display="http://www.bav-astro.de/sfs/BAVM_link.php?BAVMnr=212" xr:uid="{00000000-0004-0000-0100-000007000000}"/>
    <hyperlink ref="P17" r:id="rId9" display="http://www.bav-astro.de/sfs/BAVM_link.php?BAVMnr=234" xr:uid="{00000000-0004-0000-0100-000008000000}"/>
    <hyperlink ref="P18" r:id="rId10" display="http://www.bav-astro.de/sfs/BAVM_link.php?BAVMnr=239" xr:uid="{00000000-0004-0000-0100-00000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2023-01-12T06:49:31Z</dcterms:modified>
</cp:coreProperties>
</file>