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659209D7-D57A-4AA6-BE66-8168DADB5A72}" xr6:coauthVersionLast="47" xr6:coauthVersionMax="47" xr10:uidLastSave="{00000000-0000-0000-0000-000000000000}"/>
  <bookViews>
    <workbookView xWindow="14190" yWindow="1200" windowWidth="12975" windowHeight="14640" xr2:uid="{00000000-000D-0000-FFFF-FFFF00000000}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5" i="1" l="1"/>
  <c r="F55" i="1"/>
  <c r="G55" i="1" s="1"/>
  <c r="K55" i="1" s="1"/>
  <c r="Q55" i="1"/>
  <c r="Q54" i="1"/>
  <c r="D12" i="1"/>
  <c r="D13" i="1"/>
  <c r="D11" i="1"/>
  <c r="W9" i="1" s="1"/>
  <c r="W5" i="1"/>
  <c r="Q52" i="1"/>
  <c r="D9" i="1"/>
  <c r="C9" i="1"/>
  <c r="Q51" i="1"/>
  <c r="Q50" i="1"/>
  <c r="Q49" i="1"/>
  <c r="Q47" i="1"/>
  <c r="Q41" i="1"/>
  <c r="Q35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21" i="2"/>
  <c r="C21" i="2"/>
  <c r="G41" i="2"/>
  <c r="C41" i="2"/>
  <c r="G40" i="2"/>
  <c r="C40" i="2"/>
  <c r="G39" i="2"/>
  <c r="C39" i="2"/>
  <c r="G38" i="2"/>
  <c r="C38" i="2"/>
  <c r="G37" i="2"/>
  <c r="C37" i="2"/>
  <c r="G20" i="2"/>
  <c r="C20" i="2"/>
  <c r="G19" i="2"/>
  <c r="C19" i="2"/>
  <c r="G18" i="2"/>
  <c r="C18" i="2"/>
  <c r="G17" i="2"/>
  <c r="C17" i="2"/>
  <c r="G16" i="2"/>
  <c r="C16" i="2"/>
  <c r="G36" i="2"/>
  <c r="C36" i="2"/>
  <c r="G15" i="2"/>
  <c r="C15" i="2"/>
  <c r="G14" i="2"/>
  <c r="C14" i="2"/>
  <c r="G13" i="2"/>
  <c r="C13" i="2"/>
  <c r="G12" i="2"/>
  <c r="C12" i="2"/>
  <c r="G35" i="2"/>
  <c r="C35" i="2"/>
  <c r="G11" i="2"/>
  <c r="C11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H21" i="2"/>
  <c r="D21" i="2"/>
  <c r="B21" i="2"/>
  <c r="A21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36" i="2"/>
  <c r="D36" i="2"/>
  <c r="B36" i="2"/>
  <c r="A3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35" i="2"/>
  <c r="D35" i="2"/>
  <c r="B35" i="2"/>
  <c r="A35" i="2"/>
  <c r="H11" i="2"/>
  <c r="D11" i="2"/>
  <c r="B11" i="2"/>
  <c r="A11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Q53" i="1"/>
  <c r="Q37" i="1"/>
  <c r="F16" i="1"/>
  <c r="F17" i="1" s="1"/>
  <c r="C17" i="1"/>
  <c r="Q48" i="1"/>
  <c r="Q36" i="1"/>
  <c r="Q38" i="1"/>
  <c r="Q39" i="1"/>
  <c r="Q40" i="1"/>
  <c r="Q42" i="1"/>
  <c r="Q43" i="1"/>
  <c r="Q44" i="1"/>
  <c r="Q45" i="1"/>
  <c r="Q46" i="1"/>
  <c r="C7" i="1"/>
  <c r="E54" i="1"/>
  <c r="F54" i="1"/>
  <c r="C8" i="1"/>
  <c r="Q34" i="1"/>
  <c r="E28" i="2"/>
  <c r="E34" i="2"/>
  <c r="E23" i="2"/>
  <c r="E31" i="2"/>
  <c r="E40" i="1"/>
  <c r="F40" i="1"/>
  <c r="E47" i="1"/>
  <c r="F47" i="1"/>
  <c r="E28" i="1"/>
  <c r="F28" i="1"/>
  <c r="E46" i="1"/>
  <c r="F46" i="1"/>
  <c r="E37" i="1"/>
  <c r="F37" i="1"/>
  <c r="E33" i="1"/>
  <c r="F33" i="1"/>
  <c r="G27" i="1"/>
  <c r="I27" i="1"/>
  <c r="E25" i="1"/>
  <c r="F25" i="1"/>
  <c r="E43" i="1"/>
  <c r="F43" i="1"/>
  <c r="G43" i="1"/>
  <c r="I43" i="1"/>
  <c r="E50" i="1"/>
  <c r="E30" i="1"/>
  <c r="F30" i="1"/>
  <c r="P30" i="1"/>
  <c r="E22" i="1"/>
  <c r="F22" i="1"/>
  <c r="P22" i="1"/>
  <c r="R22" i="1" s="1"/>
  <c r="E53" i="1"/>
  <c r="F53" i="1"/>
  <c r="P53" i="1"/>
  <c r="G42" i="1"/>
  <c r="I42" i="1"/>
  <c r="E39" i="1"/>
  <c r="F39" i="1"/>
  <c r="G39" i="1"/>
  <c r="I39" i="1"/>
  <c r="G49" i="1"/>
  <c r="I49" i="1"/>
  <c r="E41" i="1"/>
  <c r="E27" i="1"/>
  <c r="F27" i="1"/>
  <c r="G48" i="1"/>
  <c r="J48" i="1"/>
  <c r="E45" i="1"/>
  <c r="F45" i="1"/>
  <c r="P45" i="1"/>
  <c r="R45" i="1" s="1"/>
  <c r="G38" i="1"/>
  <c r="I38" i="1"/>
  <c r="E34" i="1"/>
  <c r="F34" i="1"/>
  <c r="E52" i="1"/>
  <c r="F52" i="1"/>
  <c r="P52" i="1"/>
  <c r="E32" i="1"/>
  <c r="E24" i="1"/>
  <c r="W10" i="1"/>
  <c r="G54" i="1"/>
  <c r="K54" i="1"/>
  <c r="G44" i="1"/>
  <c r="I44" i="1"/>
  <c r="E42" i="1"/>
  <c r="F42" i="1"/>
  <c r="P42" i="1"/>
  <c r="R42" i="1" s="1"/>
  <c r="E49" i="1"/>
  <c r="F49" i="1"/>
  <c r="E29" i="1"/>
  <c r="F29" i="1"/>
  <c r="P29" i="1"/>
  <c r="R29" i="1" s="1"/>
  <c r="E21" i="1"/>
  <c r="F21" i="1"/>
  <c r="P21" i="1"/>
  <c r="R21" i="1" s="1"/>
  <c r="E48" i="1"/>
  <c r="F48" i="1"/>
  <c r="E38" i="1"/>
  <c r="F38" i="1"/>
  <c r="P38" i="1"/>
  <c r="R38" i="1" s="1"/>
  <c r="G47" i="1"/>
  <c r="E35" i="1"/>
  <c r="F35" i="1"/>
  <c r="G35" i="1"/>
  <c r="I35" i="1"/>
  <c r="G28" i="1"/>
  <c r="I28" i="1"/>
  <c r="E26" i="1"/>
  <c r="F26" i="1"/>
  <c r="E44" i="1"/>
  <c r="F44" i="1"/>
  <c r="P44" i="1"/>
  <c r="G37" i="1"/>
  <c r="I37" i="1"/>
  <c r="E36" i="1"/>
  <c r="F36" i="1"/>
  <c r="E51" i="1"/>
  <c r="F51" i="1"/>
  <c r="P51" i="1"/>
  <c r="R51" i="1" s="1"/>
  <c r="G33" i="1"/>
  <c r="I33" i="1"/>
  <c r="E31" i="1"/>
  <c r="F31" i="1"/>
  <c r="E23" i="1"/>
  <c r="F23" i="1"/>
  <c r="P23" i="1"/>
  <c r="R23" i="1" s="1"/>
  <c r="W2" i="1"/>
  <c r="P47" i="1"/>
  <c r="R47" i="1" s="1"/>
  <c r="P43" i="1"/>
  <c r="R43" i="1" s="1"/>
  <c r="P35" i="1"/>
  <c r="R35" i="1" s="1"/>
  <c r="G23" i="1"/>
  <c r="I23" i="1"/>
  <c r="F41" i="1"/>
  <c r="E36" i="2"/>
  <c r="G45" i="1"/>
  <c r="I45" i="1"/>
  <c r="G53" i="1"/>
  <c r="J53" i="1"/>
  <c r="E11" i="2"/>
  <c r="E26" i="2"/>
  <c r="E12" i="2"/>
  <c r="I47" i="1"/>
  <c r="G31" i="1"/>
  <c r="I31" i="1"/>
  <c r="E24" i="2"/>
  <c r="E18" i="2"/>
  <c r="E38" i="2"/>
  <c r="E15" i="2"/>
  <c r="E13" i="2"/>
  <c r="E30" i="2"/>
  <c r="F24" i="1"/>
  <c r="D15" i="1"/>
  <c r="C19" i="1" s="1"/>
  <c r="E25" i="2"/>
  <c r="R44" i="1"/>
  <c r="G40" i="1"/>
  <c r="I40" i="1"/>
  <c r="G51" i="1"/>
  <c r="K51" i="1"/>
  <c r="G26" i="1"/>
  <c r="I26" i="1"/>
  <c r="R53" i="1"/>
  <c r="F50" i="1"/>
  <c r="E39" i="2"/>
  <c r="G22" i="1"/>
  <c r="I22" i="1"/>
  <c r="E21" i="2"/>
  <c r="E19" i="2"/>
  <c r="E32" i="2"/>
  <c r="G36" i="1"/>
  <c r="I36" i="1"/>
  <c r="F32" i="1"/>
  <c r="E33" i="2"/>
  <c r="G21" i="1"/>
  <c r="I21" i="1"/>
  <c r="G52" i="1"/>
  <c r="K52" i="1"/>
  <c r="E35" i="2"/>
  <c r="E14" i="2"/>
  <c r="E17" i="2"/>
  <c r="E22" i="2"/>
  <c r="G46" i="1"/>
  <c r="I46" i="1"/>
  <c r="G25" i="1"/>
  <c r="I25" i="1"/>
  <c r="G34" i="1"/>
  <c r="H34" i="1"/>
  <c r="G30" i="1"/>
  <c r="I30" i="1"/>
  <c r="E41" i="2"/>
  <c r="E29" i="2"/>
  <c r="E27" i="2"/>
  <c r="E37" i="2"/>
  <c r="G29" i="1"/>
  <c r="I29" i="1"/>
  <c r="E20" i="2"/>
  <c r="E16" i="2"/>
  <c r="E40" i="2"/>
  <c r="R30" i="1"/>
  <c r="G50" i="1"/>
  <c r="R52" i="1"/>
  <c r="P32" i="1"/>
  <c r="R32" i="1" s="1"/>
  <c r="G32" i="1"/>
  <c r="I32" i="1"/>
  <c r="G41" i="1"/>
  <c r="I41" i="1"/>
  <c r="P24" i="1"/>
  <c r="R24" i="1" s="1"/>
  <c r="D16" i="1"/>
  <c r="D19" i="1" s="1"/>
  <c r="G24" i="1"/>
  <c r="I24" i="1"/>
  <c r="K50" i="1"/>
  <c r="C12" i="1"/>
  <c r="C11" i="1"/>
  <c r="W15" i="1" l="1"/>
  <c r="P48" i="1"/>
  <c r="R48" i="1" s="1"/>
  <c r="P46" i="1"/>
  <c r="R46" i="1" s="1"/>
  <c r="P40" i="1"/>
  <c r="R40" i="1" s="1"/>
  <c r="P41" i="1"/>
  <c r="R41" i="1" s="1"/>
  <c r="P27" i="1"/>
  <c r="R27" i="1" s="1"/>
  <c r="P31" i="1"/>
  <c r="R31" i="1" s="1"/>
  <c r="P36" i="1"/>
  <c r="R36" i="1" s="1"/>
  <c r="W16" i="1"/>
  <c r="P49" i="1"/>
  <c r="R49" i="1" s="1"/>
  <c r="W4" i="1"/>
  <c r="W18" i="1"/>
  <c r="P50" i="1"/>
  <c r="R50" i="1" s="1"/>
  <c r="P39" i="1"/>
  <c r="R39" i="1" s="1"/>
  <c r="P26" i="1"/>
  <c r="R26" i="1" s="1"/>
  <c r="P54" i="1"/>
  <c r="R54" i="1" s="1"/>
  <c r="W11" i="1"/>
  <c r="W12" i="1"/>
  <c r="P33" i="1"/>
  <c r="R33" i="1" s="1"/>
  <c r="P28" i="1"/>
  <c r="R28" i="1" s="1"/>
  <c r="W6" i="1"/>
  <c r="O55" i="1"/>
  <c r="P55" i="1"/>
  <c r="R55" i="1" s="1"/>
  <c r="C16" i="1"/>
  <c r="D18" i="1" s="1"/>
  <c r="O50" i="1"/>
  <c r="O46" i="1"/>
  <c r="O41" i="1"/>
  <c r="O42" i="1"/>
  <c r="O51" i="1"/>
  <c r="O40" i="1"/>
  <c r="O53" i="1"/>
  <c r="O43" i="1"/>
  <c r="O49" i="1"/>
  <c r="C15" i="1"/>
  <c r="O45" i="1"/>
  <c r="O44" i="1"/>
  <c r="O54" i="1"/>
  <c r="O47" i="1"/>
  <c r="O52" i="1"/>
  <c r="O48" i="1"/>
  <c r="O38" i="1"/>
  <c r="O39" i="1"/>
  <c r="W3" i="1"/>
  <c r="W7" i="1"/>
  <c r="P25" i="1"/>
  <c r="R25" i="1" s="1"/>
  <c r="P37" i="1"/>
  <c r="R37" i="1" s="1"/>
  <c r="W17" i="1"/>
  <c r="W14" i="1"/>
  <c r="W8" i="1"/>
  <c r="P34" i="1"/>
  <c r="R34" i="1" s="1"/>
  <c r="W13" i="1"/>
  <c r="E14" i="1" l="1"/>
  <c r="F18" i="1"/>
  <c r="F19" i="1" s="1"/>
  <c r="C18" i="1"/>
</calcChain>
</file>

<file path=xl/sharedStrings.xml><?xml version="1.0" encoding="utf-8"?>
<sst xmlns="http://schemas.openxmlformats.org/spreadsheetml/2006/main" count="407" uniqueCount="196">
  <si>
    <t>OEJV 0191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</si>
  <si>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</si>
  <si>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</si>
  <si>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</si>
  <si>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</si>
  <si>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</si>
  <si>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</si>
  <si>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</si>
  <si>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</si>
  <si>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</si>
  <si>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</si>
  <si>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</si>
  <si>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</si>
  <si>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</si>
  <si>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</si>
  <si>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</si>
  <si>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</si>
  <si>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</si>
  <si>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</si>
  <si>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</si>
  <si>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</si>
  <si>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</si>
  <si>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</si>
  <si>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</si>
  <si>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</si>
  <si>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</si>
  <si>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</si>
  <si>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</si>
  <si>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Bull.44</t>
  </si>
  <si>
    <t>B</t>
  </si>
  <si>
    <t>v</t>
  </si>
  <si>
    <t>IBVS 4061</t>
  </si>
  <si>
    <t>K</t>
  </si>
  <si>
    <t>II</t>
  </si>
  <si>
    <t>IBVS 5016</t>
  </si>
  <si>
    <t>I</t>
  </si>
  <si>
    <t># of data points: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</si>
  <si>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</si>
  <si>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</si>
  <si>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</si>
  <si>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</si>
  <si>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</si>
  <si>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</si>
  <si>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</si>
  <si>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</si>
  <si>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EA/WR</t>
  </si>
  <si>
    <t>IBVS 6048</t>
  </si>
  <si>
    <t>V0444 Cyg / GSC 03151-01250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</si>
  <si>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</si>
  <si>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</si>
  <si>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</si>
  <si>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</si>
  <si>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</si>
  <si>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</si>
  <si>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</si>
  <si>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</si>
  <si>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</si>
  <si>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</si>
  <si>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</si>
  <si>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</si>
  <si>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2429879.230 </t>
  </si>
  <si>
    <t> 06.09.1940 17:31 </t>
  </si>
  <si>
    <t> -0.018 </t>
  </si>
  <si>
    <t>E </t>
  </si>
  <si>
    <t>?</t>
  </si>
  <si>
    <t> Kron &amp; Gordon </t>
  </si>
  <si>
    <t> APJ 111.454 </t>
  </si>
  <si>
    <t>2430578.490 </t>
  </si>
  <si>
    <t> 06.08.1942 23:45 </t>
  </si>
  <si>
    <t> -0.020 </t>
  </si>
  <si>
    <t>2430856.452 </t>
  </si>
  <si>
    <t> 11.05.1943 22:50 </t>
  </si>
  <si>
    <t> -0.078 </t>
  </si>
  <si>
    <t> S.Gaposchkin </t>
  </si>
  <si>
    <t> HA 113.73 </t>
  </si>
  <si>
    <t>2430961.798 </t>
  </si>
  <si>
    <t> 25.08.1943 07:09 </t>
  </si>
  <si>
    <t> -0.043 </t>
  </si>
  <si>
    <t>2432061.259 </t>
  </si>
  <si>
    <t> 28.08.1946 18:12 </t>
  </si>
  <si>
    <t> -0.025 </t>
  </si>
  <si>
    <t>2432448.81 </t>
  </si>
  <si>
    <t> 20.09.1947 07:26 </t>
  </si>
  <si>
    <t> -0.02 </t>
  </si>
  <si>
    <t> W.A.Hiltner </t>
  </si>
  <si>
    <t>2433122.75 </t>
  </si>
  <si>
    <t> 25.07.1949 06:00 </t>
  </si>
  <si>
    <t> -0.06 </t>
  </si>
  <si>
    <t>2433181.76 </t>
  </si>
  <si>
    <t> 22.09.1949 06:14 </t>
  </si>
  <si>
    <t> -0.03 </t>
  </si>
  <si>
    <t>2437920.748 </t>
  </si>
  <si>
    <t> 13.09.1962 05:57 </t>
  </si>
  <si>
    <t> A.Cherepaschuk </t>
  </si>
  <si>
    <t> PZ 15.549 </t>
  </si>
  <si>
    <t>2438628.442 </t>
  </si>
  <si>
    <t> 20.08.1964 22:36 </t>
  </si>
  <si>
    <t> -0.011 </t>
  </si>
  <si>
    <t> A.Gusseinzade </t>
  </si>
  <si>
    <t> PZ 15.555 </t>
  </si>
  <si>
    <t>2438636.887 </t>
  </si>
  <si>
    <t> 29.08.1964 09:17 </t>
  </si>
  <si>
    <t> 0.009 </t>
  </si>
  <si>
    <t> L.V.Kuhi </t>
  </si>
  <si>
    <t> APJ 152.89 </t>
  </si>
  <si>
    <t>2438982.277 </t>
  </si>
  <si>
    <t> 09.08.1965 18:38 </t>
  </si>
  <si>
    <t> -0.019 </t>
  </si>
  <si>
    <t> Cherepaschuk et al </t>
  </si>
  <si>
    <t> PASP 102.750 </t>
  </si>
  <si>
    <t>2439020.186 </t>
  </si>
  <si>
    <t> 16.09.1965 16:27 </t>
  </si>
  <si>
    <t> -0.022 </t>
  </si>
  <si>
    <t> Cherepaschuk (Lkn) </t>
  </si>
  <si>
    <t> PSMO 161 </t>
  </si>
  <si>
    <t>2441164.332 </t>
  </si>
  <si>
    <t> 31.07.1971 19:58 </t>
  </si>
  <si>
    <t> 0.000 </t>
  </si>
  <si>
    <t>2441185.404 </t>
  </si>
  <si>
    <t> 21.08.1971 21:41 </t>
  </si>
  <si>
    <t> 0.010 </t>
  </si>
  <si>
    <t>2444083.545 </t>
  </si>
  <si>
    <t> 29.07.1979 01:04 </t>
  </si>
  <si>
    <t> 0.003 </t>
  </si>
  <si>
    <t> R.Diethelm </t>
  </si>
  <si>
    <t> BBS 44 </t>
  </si>
  <si>
    <t>2444913.424 </t>
  </si>
  <si>
    <t> 04.11.1981 22:10 </t>
  </si>
  <si>
    <t> 0.035 </t>
  </si>
  <si>
    <t> Eaton et al. </t>
  </si>
  <si>
    <t>IBVS 4061 </t>
  </si>
  <si>
    <t>2445528.460 </t>
  </si>
  <si>
    <t> 12.07.1983 23:02 </t>
  </si>
  <si>
    <t> 0.057 </t>
  </si>
  <si>
    <t> Khaliullin et al. </t>
  </si>
  <si>
    <t>2445972.860 </t>
  </si>
  <si>
    <t> 29.09.1984 08:38 </t>
  </si>
  <si>
    <t> 0.046 </t>
  </si>
  <si>
    <t> Eaton &amp; Henry </t>
  </si>
  <si>
    <t>2447049.142 </t>
  </si>
  <si>
    <t> 10.09.1987 15:24 </t>
  </si>
  <si>
    <t> 0.054 </t>
  </si>
  <si>
    <t>? </t>
  </si>
  <si>
    <t> Underhill et al. </t>
  </si>
  <si>
    <t>2447394.562 </t>
  </si>
  <si>
    <t> 21.08.1988 01:29 </t>
  </si>
  <si>
    <t> 0.055 </t>
  </si>
  <si>
    <t> H.Louth </t>
  </si>
  <si>
    <t>2447767.405 </t>
  </si>
  <si>
    <t> 28.08.1989 21:43 </t>
  </si>
  <si>
    <t> 0.098 </t>
  </si>
  <si>
    <t> St-Louis et al. </t>
  </si>
  <si>
    <t> APJ 410.342 </t>
  </si>
  <si>
    <t>2447773.678 </t>
  </si>
  <si>
    <t> 04.09.1989 04:16 </t>
  </si>
  <si>
    <t> 0.053 </t>
  </si>
  <si>
    <t>2449519.78 </t>
  </si>
  <si>
    <t> 16.06.1994 06:43 </t>
  </si>
  <si>
    <t> 0.10 </t>
  </si>
  <si>
    <t>2449540.830 </t>
  </si>
  <si>
    <t> 07.07.1994 07:55 </t>
  </si>
  <si>
    <t> 0.093 </t>
  </si>
  <si>
    <t>2451413.270 </t>
  </si>
  <si>
    <t> 22.08.1999 18:28 </t>
  </si>
  <si>
    <t> 0.110 </t>
  </si>
  <si>
    <t> F.Agerer </t>
  </si>
  <si>
    <t>BAVM 132 </t>
  </si>
  <si>
    <t>2451413.280 </t>
  </si>
  <si>
    <t> 22.08.1999 18:43 </t>
  </si>
  <si>
    <t> 0.120 </t>
  </si>
  <si>
    <t>B;V</t>
  </si>
  <si>
    <t>2454707.4494 </t>
  </si>
  <si>
    <t> 28.08.2008 22:47 </t>
  </si>
  <si>
    <t> 0.1742 </t>
  </si>
  <si>
    <t>C </t>
  </si>
  <si>
    <t>-I</t>
  </si>
  <si>
    <t>BAVM 203 </t>
  </si>
  <si>
    <t>2454709.5629 </t>
  </si>
  <si>
    <t> 31.08.2008 01:30 </t>
  </si>
  <si>
    <t>3215.5</t>
  </si>
  <si>
    <t> 0.1815 </t>
  </si>
  <si>
    <t> P.Frank </t>
  </si>
  <si>
    <t>2455084.5104 </t>
  </si>
  <si>
    <t> 10.09.2009 00:14 </t>
  </si>
  <si>
    <t>3304.5</t>
  </si>
  <si>
    <t> 0.2233 </t>
  </si>
  <si>
    <t>BAVM 212 </t>
  </si>
  <si>
    <t>2455836.4109 </t>
  </si>
  <si>
    <t> 01.10.2011 21:51 </t>
  </si>
  <si>
    <t>3483</t>
  </si>
  <si>
    <t> 0.2061 </t>
  </si>
  <si>
    <t>o</t>
  </si>
  <si>
    <t>BAVM 228 </t>
  </si>
  <si>
    <t>Lin. Ephemeris =</t>
  </si>
  <si>
    <t>Quad. Ephemeris =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</si>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</sst>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5" xfId="0" applyFont="1" applyBorder="1" applyAlignment="1">
      <alignment vertical="center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11" fontId="0" fillId="0" borderId="0" xfId="0" applyNumberFormat="1" applyAlignment="1"/>
    <xf numFmtId="0" fontId="21" fillId="0" borderId="18" xfId="0" applyFont="1" applyBorder="1" applyAlignment="1"/>
    <xf numFmtId="0" fontId="21" fillId="0" borderId="19" xfId="0" applyFont="1" applyBorder="1" applyAlignment="1"/>
    <xf numFmtId="0" fontId="21" fillId="0" borderId="20" xfId="0" applyFont="1" applyBorder="1" applyAlignment="1"/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6" fillId="0" borderId="0" xfId="0" applyFont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15" fillId="0" borderId="0" xfId="0" applyFont="1" applyAlignment="1"/>
    <xf numFmtId="0" fontId="16" fillId="0" borderId="0" xfId="0" applyFont="1">
      <alignment vertical="top"/>
    </xf>
    <xf numFmtId="0" fontId="10" fillId="0" borderId="0" xfId="42" applyFont="1" applyAlignment="1">
      <alignment horizontal="left"/>
    </xf>
    <xf numFmtId="0" fontId="36" fillId="0" borderId="0" xfId="42" applyFont="1" applyAlignment="1">
      <alignment horizontal="left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65" fontId="38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V444 Cyg - O-C Diagr.</a:t>
            </a:r>
          </a:p>
        </c:rich>
      </c:tx>
      <c:layout>
        <c:manualLayout>
          <c:xMode val="edge"/>
          <c:yMode val="edge"/>
          <c:x val="0.3688276465441819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0267379598554"/>
          <c:y val="0.14634168126798494"/>
          <c:w val="0.81790246718036741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-2679</c:v>
                </c:pt>
                <c:pt idx="1">
                  <c:v>-2513</c:v>
                </c:pt>
                <c:pt idx="2">
                  <c:v>-2447</c:v>
                </c:pt>
                <c:pt idx="3">
                  <c:v>-2422</c:v>
                </c:pt>
                <c:pt idx="4">
                  <c:v>-2161</c:v>
                </c:pt>
                <c:pt idx="5">
                  <c:v>-2069</c:v>
                </c:pt>
                <c:pt idx="6">
                  <c:v>-1909</c:v>
                </c:pt>
                <c:pt idx="7">
                  <c:v>-1895</c:v>
                </c:pt>
                <c:pt idx="8">
                  <c:v>-770</c:v>
                </c:pt>
                <c:pt idx="9">
                  <c:v>-602</c:v>
                </c:pt>
                <c:pt idx="10">
                  <c:v>-600</c:v>
                </c:pt>
                <c:pt idx="11">
                  <c:v>-518</c:v>
                </c:pt>
                <c:pt idx="12">
                  <c:v>-509</c:v>
                </c:pt>
                <c:pt idx="13">
                  <c:v>0</c:v>
                </c:pt>
                <c:pt idx="14">
                  <c:v>5</c:v>
                </c:pt>
                <c:pt idx="15">
                  <c:v>693</c:v>
                </c:pt>
                <c:pt idx="16">
                  <c:v>890</c:v>
                </c:pt>
                <c:pt idx="17">
                  <c:v>890.5</c:v>
                </c:pt>
                <c:pt idx="18">
                  <c:v>1036</c:v>
                </c:pt>
                <c:pt idx="19">
                  <c:v>1141.5</c:v>
                </c:pt>
                <c:pt idx="20">
                  <c:v>1397</c:v>
                </c:pt>
                <c:pt idx="21">
                  <c:v>1479</c:v>
                </c:pt>
                <c:pt idx="22">
                  <c:v>1567.5</c:v>
                </c:pt>
                <c:pt idx="23">
                  <c:v>1569</c:v>
                </c:pt>
                <c:pt idx="24">
                  <c:v>1983.5</c:v>
                </c:pt>
                <c:pt idx="25">
                  <c:v>1988.5</c:v>
                </c:pt>
                <c:pt idx="26">
                  <c:v>2433</c:v>
                </c:pt>
                <c:pt idx="27">
                  <c:v>2433</c:v>
                </c:pt>
                <c:pt idx="28">
                  <c:v>2433</c:v>
                </c:pt>
                <c:pt idx="29">
                  <c:v>3215</c:v>
                </c:pt>
                <c:pt idx="30">
                  <c:v>3215.5</c:v>
                </c:pt>
                <c:pt idx="31">
                  <c:v>3304.5</c:v>
                </c:pt>
                <c:pt idx="32">
                  <c:v>3483</c:v>
                </c:pt>
                <c:pt idx="33">
                  <c:v>3987</c:v>
                </c:pt>
                <c:pt idx="34">
                  <c:v>4335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1C-453C-98D5-DA7FE89E382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4.0000000000000001E-3</c:v>
                  </c:pt>
                  <c:pt idx="20">
                    <c:v>0</c:v>
                  </c:pt>
                  <c:pt idx="26">
                    <c:v>0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3.3999999999999998E-3</c:v>
                  </c:pt>
                  <c:pt idx="33">
                    <c:v>0.01</c:v>
                  </c:pt>
                  <c:pt idx="34">
                    <c:v>3.0999999999999999E-3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4.0000000000000001E-3</c:v>
                  </c:pt>
                  <c:pt idx="20">
                    <c:v>0</c:v>
                  </c:pt>
                  <c:pt idx="26">
                    <c:v>0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3.3999999999999998E-3</c:v>
                  </c:pt>
                  <c:pt idx="33">
                    <c:v>0.01</c:v>
                  </c:pt>
                  <c:pt idx="34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-2679</c:v>
                </c:pt>
                <c:pt idx="1">
                  <c:v>-2513</c:v>
                </c:pt>
                <c:pt idx="2">
                  <c:v>-2447</c:v>
                </c:pt>
                <c:pt idx="3">
                  <c:v>-2422</c:v>
                </c:pt>
                <c:pt idx="4">
                  <c:v>-2161</c:v>
                </c:pt>
                <c:pt idx="5">
                  <c:v>-2069</c:v>
                </c:pt>
                <c:pt idx="6">
                  <c:v>-1909</c:v>
                </c:pt>
                <c:pt idx="7">
                  <c:v>-1895</c:v>
                </c:pt>
                <c:pt idx="8">
                  <c:v>-770</c:v>
                </c:pt>
                <c:pt idx="9">
                  <c:v>-602</c:v>
                </c:pt>
                <c:pt idx="10">
                  <c:v>-600</c:v>
                </c:pt>
                <c:pt idx="11">
                  <c:v>-518</c:v>
                </c:pt>
                <c:pt idx="12">
                  <c:v>-509</c:v>
                </c:pt>
                <c:pt idx="13">
                  <c:v>0</c:v>
                </c:pt>
                <c:pt idx="14">
                  <c:v>5</c:v>
                </c:pt>
                <c:pt idx="15">
                  <c:v>693</c:v>
                </c:pt>
                <c:pt idx="16">
                  <c:v>890</c:v>
                </c:pt>
                <c:pt idx="17">
                  <c:v>890.5</c:v>
                </c:pt>
                <c:pt idx="18">
                  <c:v>1036</c:v>
                </c:pt>
                <c:pt idx="19">
                  <c:v>1141.5</c:v>
                </c:pt>
                <c:pt idx="20">
                  <c:v>1397</c:v>
                </c:pt>
                <c:pt idx="21">
                  <c:v>1479</c:v>
                </c:pt>
                <c:pt idx="22">
                  <c:v>1567.5</c:v>
                </c:pt>
                <c:pt idx="23">
                  <c:v>1569</c:v>
                </c:pt>
                <c:pt idx="24">
                  <c:v>1983.5</c:v>
                </c:pt>
                <c:pt idx="25">
                  <c:v>1988.5</c:v>
                </c:pt>
                <c:pt idx="26">
                  <c:v>2433</c:v>
                </c:pt>
                <c:pt idx="27">
                  <c:v>2433</c:v>
                </c:pt>
                <c:pt idx="28">
                  <c:v>2433</c:v>
                </c:pt>
                <c:pt idx="29">
                  <c:v>3215</c:v>
                </c:pt>
                <c:pt idx="30">
                  <c:v>3215.5</c:v>
                </c:pt>
                <c:pt idx="31">
                  <c:v>3304.5</c:v>
                </c:pt>
                <c:pt idx="32">
                  <c:v>3483</c:v>
                </c:pt>
                <c:pt idx="33">
                  <c:v>3987</c:v>
                </c:pt>
                <c:pt idx="34">
                  <c:v>4335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-1.8103999998857034E-2</c:v>
                </c:pt>
                <c:pt idx="1">
                  <c:v>-2.0487999998294981E-2</c:v>
                </c:pt>
                <c:pt idx="2">
                  <c:v>-7.8471999997418607E-2</c:v>
                </c:pt>
                <c:pt idx="3">
                  <c:v>-4.3072000004030997E-2</c:v>
                </c:pt>
                <c:pt idx="4">
                  <c:v>-2.4736000003031222E-2</c:v>
                </c:pt>
                <c:pt idx="5">
                  <c:v>-1.6744000000471715E-2</c:v>
                </c:pt>
                <c:pt idx="6">
                  <c:v>-6.4583999999740627E-2</c:v>
                </c:pt>
                <c:pt idx="7">
                  <c:v>-2.8519999999844003E-2</c:v>
                </c:pt>
                <c:pt idx="8">
                  <c:v>-1.7520000001240987E-2</c:v>
                </c:pt>
                <c:pt idx="9">
                  <c:v>-1.075200000195764E-2</c:v>
                </c:pt>
                <c:pt idx="10">
                  <c:v>9.4000000026426278E-3</c:v>
                </c:pt>
                <c:pt idx="11">
                  <c:v>-1.9368000001122709E-2</c:v>
                </c:pt>
                <c:pt idx="12">
                  <c:v>-2.218400000128895E-2</c:v>
                </c:pt>
                <c:pt idx="14">
                  <c:v>9.8799999977927655E-3</c:v>
                </c:pt>
                <c:pt idx="15">
                  <c:v>3.1679999956395477E-3</c:v>
                </c:pt>
                <c:pt idx="16">
                  <c:v>3.4639999998034909E-2</c:v>
                </c:pt>
                <c:pt idx="17">
                  <c:v>3.0427999998209998E-2</c:v>
                </c:pt>
                <c:pt idx="18">
                  <c:v>5.6735999998636544E-2</c:v>
                </c:pt>
                <c:pt idx="19">
                  <c:v>4.6003999996173661E-2</c:v>
                </c:pt>
                <c:pt idx="20">
                  <c:v>5.3671999994548969E-2</c:v>
                </c:pt>
                <c:pt idx="21">
                  <c:v>5.4903999996895436E-2</c:v>
                </c:pt>
                <c:pt idx="22">
                  <c:v>9.8379999995813705E-2</c:v>
                </c:pt>
                <c:pt idx="23">
                  <c:v>5.2744000000529923E-2</c:v>
                </c:pt>
                <c:pt idx="24">
                  <c:v>0.10499599999457132</c:v>
                </c:pt>
                <c:pt idx="25">
                  <c:v>9.2875999995158054E-2</c:v>
                </c:pt>
                <c:pt idx="26">
                  <c:v>0.11040799999318551</c:v>
                </c:pt>
                <c:pt idx="28">
                  <c:v>0.12040799999522278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1C-453C-98D5-DA7FE89E382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4.0000000000000001E-3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4.0000000000000001E-3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-2679</c:v>
                </c:pt>
                <c:pt idx="1">
                  <c:v>-2513</c:v>
                </c:pt>
                <c:pt idx="2">
                  <c:v>-2447</c:v>
                </c:pt>
                <c:pt idx="3">
                  <c:v>-2422</c:v>
                </c:pt>
                <c:pt idx="4">
                  <c:v>-2161</c:v>
                </c:pt>
                <c:pt idx="5">
                  <c:v>-2069</c:v>
                </c:pt>
                <c:pt idx="6">
                  <c:v>-1909</c:v>
                </c:pt>
                <c:pt idx="7">
                  <c:v>-1895</c:v>
                </c:pt>
                <c:pt idx="8">
                  <c:v>-770</c:v>
                </c:pt>
                <c:pt idx="9">
                  <c:v>-602</c:v>
                </c:pt>
                <c:pt idx="10">
                  <c:v>-600</c:v>
                </c:pt>
                <c:pt idx="11">
                  <c:v>-518</c:v>
                </c:pt>
                <c:pt idx="12">
                  <c:v>-509</c:v>
                </c:pt>
                <c:pt idx="13">
                  <c:v>0</c:v>
                </c:pt>
                <c:pt idx="14">
                  <c:v>5</c:v>
                </c:pt>
                <c:pt idx="15">
                  <c:v>693</c:v>
                </c:pt>
                <c:pt idx="16">
                  <c:v>890</c:v>
                </c:pt>
                <c:pt idx="17">
                  <c:v>890.5</c:v>
                </c:pt>
                <c:pt idx="18">
                  <c:v>1036</c:v>
                </c:pt>
                <c:pt idx="19">
                  <c:v>1141.5</c:v>
                </c:pt>
                <c:pt idx="20">
                  <c:v>1397</c:v>
                </c:pt>
                <c:pt idx="21">
                  <c:v>1479</c:v>
                </c:pt>
                <c:pt idx="22">
                  <c:v>1567.5</c:v>
                </c:pt>
                <c:pt idx="23">
                  <c:v>1569</c:v>
                </c:pt>
                <c:pt idx="24">
                  <c:v>1983.5</c:v>
                </c:pt>
                <c:pt idx="25">
                  <c:v>1988.5</c:v>
                </c:pt>
                <c:pt idx="26">
                  <c:v>2433</c:v>
                </c:pt>
                <c:pt idx="27">
                  <c:v>2433</c:v>
                </c:pt>
                <c:pt idx="28">
                  <c:v>2433</c:v>
                </c:pt>
                <c:pt idx="29">
                  <c:v>3215</c:v>
                </c:pt>
                <c:pt idx="30">
                  <c:v>3215.5</c:v>
                </c:pt>
                <c:pt idx="31">
                  <c:v>3304.5</c:v>
                </c:pt>
                <c:pt idx="32">
                  <c:v>3483</c:v>
                </c:pt>
                <c:pt idx="33">
                  <c:v>3987</c:v>
                </c:pt>
                <c:pt idx="34">
                  <c:v>4335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7">
                  <c:v>0.11540799999784213</c:v>
                </c:pt>
                <c:pt idx="32">
                  <c:v>0.20610799999849405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1C-453C-98D5-DA7FE89E382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4.0000000000000001E-3</c:v>
                  </c:pt>
                  <c:pt idx="20">
                    <c:v>0</c:v>
                  </c:pt>
                  <c:pt idx="26">
                    <c:v>0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3.3999999999999998E-3</c:v>
                  </c:pt>
                  <c:pt idx="33">
                    <c:v>0.01</c:v>
                  </c:pt>
                  <c:pt idx="34">
                    <c:v>3.0999999999999999E-3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4.0000000000000001E-3</c:v>
                  </c:pt>
                  <c:pt idx="20">
                    <c:v>0</c:v>
                  </c:pt>
                  <c:pt idx="26">
                    <c:v>0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3.3999999999999998E-3</c:v>
                  </c:pt>
                  <c:pt idx="33">
                    <c:v>0.01</c:v>
                  </c:pt>
                  <c:pt idx="34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-2679</c:v>
                </c:pt>
                <c:pt idx="1">
                  <c:v>-2513</c:v>
                </c:pt>
                <c:pt idx="2">
                  <c:v>-2447</c:v>
                </c:pt>
                <c:pt idx="3">
                  <c:v>-2422</c:v>
                </c:pt>
                <c:pt idx="4">
                  <c:v>-2161</c:v>
                </c:pt>
                <c:pt idx="5">
                  <c:v>-2069</c:v>
                </c:pt>
                <c:pt idx="6">
                  <c:v>-1909</c:v>
                </c:pt>
                <c:pt idx="7">
                  <c:v>-1895</c:v>
                </c:pt>
                <c:pt idx="8">
                  <c:v>-770</c:v>
                </c:pt>
                <c:pt idx="9">
                  <c:v>-602</c:v>
                </c:pt>
                <c:pt idx="10">
                  <c:v>-600</c:v>
                </c:pt>
                <c:pt idx="11">
                  <c:v>-518</c:v>
                </c:pt>
                <c:pt idx="12">
                  <c:v>-509</c:v>
                </c:pt>
                <c:pt idx="13">
                  <c:v>0</c:v>
                </c:pt>
                <c:pt idx="14">
                  <c:v>5</c:v>
                </c:pt>
                <c:pt idx="15">
                  <c:v>693</c:v>
                </c:pt>
                <c:pt idx="16">
                  <c:v>890</c:v>
                </c:pt>
                <c:pt idx="17">
                  <c:v>890.5</c:v>
                </c:pt>
                <c:pt idx="18">
                  <c:v>1036</c:v>
                </c:pt>
                <c:pt idx="19">
                  <c:v>1141.5</c:v>
                </c:pt>
                <c:pt idx="20">
                  <c:v>1397</c:v>
                </c:pt>
                <c:pt idx="21">
                  <c:v>1479</c:v>
                </c:pt>
                <c:pt idx="22">
                  <c:v>1567.5</c:v>
                </c:pt>
                <c:pt idx="23">
                  <c:v>1569</c:v>
                </c:pt>
                <c:pt idx="24">
                  <c:v>1983.5</c:v>
                </c:pt>
                <c:pt idx="25">
                  <c:v>1988.5</c:v>
                </c:pt>
                <c:pt idx="26">
                  <c:v>2433</c:v>
                </c:pt>
                <c:pt idx="27">
                  <c:v>2433</c:v>
                </c:pt>
                <c:pt idx="28">
                  <c:v>2433</c:v>
                </c:pt>
                <c:pt idx="29">
                  <c:v>3215</c:v>
                </c:pt>
                <c:pt idx="30">
                  <c:v>3215.5</c:v>
                </c:pt>
                <c:pt idx="31">
                  <c:v>3304.5</c:v>
                </c:pt>
                <c:pt idx="32">
                  <c:v>3483</c:v>
                </c:pt>
                <c:pt idx="33">
                  <c:v>3987</c:v>
                </c:pt>
                <c:pt idx="34">
                  <c:v>4335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9">
                  <c:v>0.17423999999300577</c:v>
                </c:pt>
                <c:pt idx="30">
                  <c:v>0.18152799999370473</c:v>
                </c:pt>
                <c:pt idx="31">
                  <c:v>0.22329199999512639</c:v>
                </c:pt>
                <c:pt idx="33">
                  <c:v>0.23651199998857919</c:v>
                </c:pt>
                <c:pt idx="34">
                  <c:v>0.28766000000177883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1C-453C-98D5-DA7FE89E382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4.0000000000000001E-3</c:v>
                  </c:pt>
                  <c:pt idx="20">
                    <c:v>0</c:v>
                  </c:pt>
                  <c:pt idx="26">
                    <c:v>0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3.3999999999999998E-3</c:v>
                  </c:pt>
                  <c:pt idx="33">
                    <c:v>0.01</c:v>
                  </c:pt>
                  <c:pt idx="34">
                    <c:v>3.0999999999999999E-3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4.0000000000000001E-3</c:v>
                  </c:pt>
                  <c:pt idx="20">
                    <c:v>0</c:v>
                  </c:pt>
                  <c:pt idx="26">
                    <c:v>0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3.3999999999999998E-3</c:v>
                  </c:pt>
                  <c:pt idx="33">
                    <c:v>0.01</c:v>
                  </c:pt>
                  <c:pt idx="34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-2679</c:v>
                </c:pt>
                <c:pt idx="1">
                  <c:v>-2513</c:v>
                </c:pt>
                <c:pt idx="2">
                  <c:v>-2447</c:v>
                </c:pt>
                <c:pt idx="3">
                  <c:v>-2422</c:v>
                </c:pt>
                <c:pt idx="4">
                  <c:v>-2161</c:v>
                </c:pt>
                <c:pt idx="5">
                  <c:v>-2069</c:v>
                </c:pt>
                <c:pt idx="6">
                  <c:v>-1909</c:v>
                </c:pt>
                <c:pt idx="7">
                  <c:v>-1895</c:v>
                </c:pt>
                <c:pt idx="8">
                  <c:v>-770</c:v>
                </c:pt>
                <c:pt idx="9">
                  <c:v>-602</c:v>
                </c:pt>
                <c:pt idx="10">
                  <c:v>-600</c:v>
                </c:pt>
                <c:pt idx="11">
                  <c:v>-518</c:v>
                </c:pt>
                <c:pt idx="12">
                  <c:v>-509</c:v>
                </c:pt>
                <c:pt idx="13">
                  <c:v>0</c:v>
                </c:pt>
                <c:pt idx="14">
                  <c:v>5</c:v>
                </c:pt>
                <c:pt idx="15">
                  <c:v>693</c:v>
                </c:pt>
                <c:pt idx="16">
                  <c:v>890</c:v>
                </c:pt>
                <c:pt idx="17">
                  <c:v>890.5</c:v>
                </c:pt>
                <c:pt idx="18">
                  <c:v>1036</c:v>
                </c:pt>
                <c:pt idx="19">
                  <c:v>1141.5</c:v>
                </c:pt>
                <c:pt idx="20">
                  <c:v>1397</c:v>
                </c:pt>
                <c:pt idx="21">
                  <c:v>1479</c:v>
                </c:pt>
                <c:pt idx="22">
                  <c:v>1567.5</c:v>
                </c:pt>
                <c:pt idx="23">
                  <c:v>1569</c:v>
                </c:pt>
                <c:pt idx="24">
                  <c:v>1983.5</c:v>
                </c:pt>
                <c:pt idx="25">
                  <c:v>1988.5</c:v>
                </c:pt>
                <c:pt idx="26">
                  <c:v>2433</c:v>
                </c:pt>
                <c:pt idx="27">
                  <c:v>2433</c:v>
                </c:pt>
                <c:pt idx="28">
                  <c:v>2433</c:v>
                </c:pt>
                <c:pt idx="29">
                  <c:v>3215</c:v>
                </c:pt>
                <c:pt idx="30">
                  <c:v>3215.5</c:v>
                </c:pt>
                <c:pt idx="31">
                  <c:v>3304.5</c:v>
                </c:pt>
                <c:pt idx="32">
                  <c:v>3483</c:v>
                </c:pt>
                <c:pt idx="33">
                  <c:v>3987</c:v>
                </c:pt>
                <c:pt idx="34">
                  <c:v>4335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1C-453C-98D5-DA7FE89E382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4.0000000000000001E-3</c:v>
                  </c:pt>
                  <c:pt idx="20">
                    <c:v>0</c:v>
                  </c:pt>
                  <c:pt idx="26">
                    <c:v>0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3.3999999999999998E-3</c:v>
                  </c:pt>
                  <c:pt idx="33">
                    <c:v>0.01</c:v>
                  </c:pt>
                  <c:pt idx="34">
                    <c:v>3.0999999999999999E-3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4.0000000000000001E-3</c:v>
                  </c:pt>
                  <c:pt idx="20">
                    <c:v>0</c:v>
                  </c:pt>
                  <c:pt idx="26">
                    <c:v>0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3.3999999999999998E-3</c:v>
                  </c:pt>
                  <c:pt idx="33">
                    <c:v>0.01</c:v>
                  </c:pt>
                  <c:pt idx="34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-2679</c:v>
                </c:pt>
                <c:pt idx="1">
                  <c:v>-2513</c:v>
                </c:pt>
                <c:pt idx="2">
                  <c:v>-2447</c:v>
                </c:pt>
                <c:pt idx="3">
                  <c:v>-2422</c:v>
                </c:pt>
                <c:pt idx="4">
                  <c:v>-2161</c:v>
                </c:pt>
                <c:pt idx="5">
                  <c:v>-2069</c:v>
                </c:pt>
                <c:pt idx="6">
                  <c:v>-1909</c:v>
                </c:pt>
                <c:pt idx="7">
                  <c:v>-1895</c:v>
                </c:pt>
                <c:pt idx="8">
                  <c:v>-770</c:v>
                </c:pt>
                <c:pt idx="9">
                  <c:v>-602</c:v>
                </c:pt>
                <c:pt idx="10">
                  <c:v>-600</c:v>
                </c:pt>
                <c:pt idx="11">
                  <c:v>-518</c:v>
                </c:pt>
                <c:pt idx="12">
                  <c:v>-509</c:v>
                </c:pt>
                <c:pt idx="13">
                  <c:v>0</c:v>
                </c:pt>
                <c:pt idx="14">
                  <c:v>5</c:v>
                </c:pt>
                <c:pt idx="15">
                  <c:v>693</c:v>
                </c:pt>
                <c:pt idx="16">
                  <c:v>890</c:v>
                </c:pt>
                <c:pt idx="17">
                  <c:v>890.5</c:v>
                </c:pt>
                <c:pt idx="18">
                  <c:v>1036</c:v>
                </c:pt>
                <c:pt idx="19">
                  <c:v>1141.5</c:v>
                </c:pt>
                <c:pt idx="20">
                  <c:v>1397</c:v>
                </c:pt>
                <c:pt idx="21">
                  <c:v>1479</c:v>
                </c:pt>
                <c:pt idx="22">
                  <c:v>1567.5</c:v>
                </c:pt>
                <c:pt idx="23">
                  <c:v>1569</c:v>
                </c:pt>
                <c:pt idx="24">
                  <c:v>1983.5</c:v>
                </c:pt>
                <c:pt idx="25">
                  <c:v>1988.5</c:v>
                </c:pt>
                <c:pt idx="26">
                  <c:v>2433</c:v>
                </c:pt>
                <c:pt idx="27">
                  <c:v>2433</c:v>
                </c:pt>
                <c:pt idx="28">
                  <c:v>2433</c:v>
                </c:pt>
                <c:pt idx="29">
                  <c:v>3215</c:v>
                </c:pt>
                <c:pt idx="30">
                  <c:v>3215.5</c:v>
                </c:pt>
                <c:pt idx="31">
                  <c:v>3304.5</c:v>
                </c:pt>
                <c:pt idx="32">
                  <c:v>3483</c:v>
                </c:pt>
                <c:pt idx="33">
                  <c:v>3987</c:v>
                </c:pt>
                <c:pt idx="34">
                  <c:v>4335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1C-453C-98D5-DA7FE89E382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4.0000000000000001E-3</c:v>
                  </c:pt>
                  <c:pt idx="20">
                    <c:v>0</c:v>
                  </c:pt>
                  <c:pt idx="26">
                    <c:v>0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3.3999999999999998E-3</c:v>
                  </c:pt>
                  <c:pt idx="33">
                    <c:v>0.01</c:v>
                  </c:pt>
                  <c:pt idx="34">
                    <c:v>3.0999999999999999E-3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4.0000000000000001E-3</c:v>
                  </c:pt>
                  <c:pt idx="20">
                    <c:v>0</c:v>
                  </c:pt>
                  <c:pt idx="26">
                    <c:v>0</c:v>
                  </c:pt>
                  <c:pt idx="27">
                    <c:v>8.0000000000000002E-3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3.3999999999999998E-3</c:v>
                  </c:pt>
                  <c:pt idx="33">
                    <c:v>0.01</c:v>
                  </c:pt>
                  <c:pt idx="34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-2679</c:v>
                </c:pt>
                <c:pt idx="1">
                  <c:v>-2513</c:v>
                </c:pt>
                <c:pt idx="2">
                  <c:v>-2447</c:v>
                </c:pt>
                <c:pt idx="3">
                  <c:v>-2422</c:v>
                </c:pt>
                <c:pt idx="4">
                  <c:v>-2161</c:v>
                </c:pt>
                <c:pt idx="5">
                  <c:v>-2069</c:v>
                </c:pt>
                <c:pt idx="6">
                  <c:v>-1909</c:v>
                </c:pt>
                <c:pt idx="7">
                  <c:v>-1895</c:v>
                </c:pt>
                <c:pt idx="8">
                  <c:v>-770</c:v>
                </c:pt>
                <c:pt idx="9">
                  <c:v>-602</c:v>
                </c:pt>
                <c:pt idx="10">
                  <c:v>-600</c:v>
                </c:pt>
                <c:pt idx="11">
                  <c:v>-518</c:v>
                </c:pt>
                <c:pt idx="12">
                  <c:v>-509</c:v>
                </c:pt>
                <c:pt idx="13">
                  <c:v>0</c:v>
                </c:pt>
                <c:pt idx="14">
                  <c:v>5</c:v>
                </c:pt>
                <c:pt idx="15">
                  <c:v>693</c:v>
                </c:pt>
                <c:pt idx="16">
                  <c:v>890</c:v>
                </c:pt>
                <c:pt idx="17">
                  <c:v>890.5</c:v>
                </c:pt>
                <c:pt idx="18">
                  <c:v>1036</c:v>
                </c:pt>
                <c:pt idx="19">
                  <c:v>1141.5</c:v>
                </c:pt>
                <c:pt idx="20">
                  <c:v>1397</c:v>
                </c:pt>
                <c:pt idx="21">
                  <c:v>1479</c:v>
                </c:pt>
                <c:pt idx="22">
                  <c:v>1567.5</c:v>
                </c:pt>
                <c:pt idx="23">
                  <c:v>1569</c:v>
                </c:pt>
                <c:pt idx="24">
                  <c:v>1983.5</c:v>
                </c:pt>
                <c:pt idx="25">
                  <c:v>1988.5</c:v>
                </c:pt>
                <c:pt idx="26">
                  <c:v>2433</c:v>
                </c:pt>
                <c:pt idx="27">
                  <c:v>2433</c:v>
                </c:pt>
                <c:pt idx="28">
                  <c:v>2433</c:v>
                </c:pt>
                <c:pt idx="29">
                  <c:v>3215</c:v>
                </c:pt>
                <c:pt idx="30">
                  <c:v>3215.5</c:v>
                </c:pt>
                <c:pt idx="31">
                  <c:v>3304.5</c:v>
                </c:pt>
                <c:pt idx="32">
                  <c:v>3483</c:v>
                </c:pt>
                <c:pt idx="33">
                  <c:v>3987</c:v>
                </c:pt>
                <c:pt idx="34">
                  <c:v>4335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1C-453C-98D5-DA7FE89E382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-2679</c:v>
                </c:pt>
                <c:pt idx="1">
                  <c:v>-2513</c:v>
                </c:pt>
                <c:pt idx="2">
                  <c:v>-2447</c:v>
                </c:pt>
                <c:pt idx="3">
                  <c:v>-2422</c:v>
                </c:pt>
                <c:pt idx="4">
                  <c:v>-2161</c:v>
                </c:pt>
                <c:pt idx="5">
                  <c:v>-2069</c:v>
                </c:pt>
                <c:pt idx="6">
                  <c:v>-1909</c:v>
                </c:pt>
                <c:pt idx="7">
                  <c:v>-1895</c:v>
                </c:pt>
                <c:pt idx="8">
                  <c:v>-770</c:v>
                </c:pt>
                <c:pt idx="9">
                  <c:v>-602</c:v>
                </c:pt>
                <c:pt idx="10">
                  <c:v>-600</c:v>
                </c:pt>
                <c:pt idx="11">
                  <c:v>-518</c:v>
                </c:pt>
                <c:pt idx="12">
                  <c:v>-509</c:v>
                </c:pt>
                <c:pt idx="13">
                  <c:v>0</c:v>
                </c:pt>
                <c:pt idx="14">
                  <c:v>5</c:v>
                </c:pt>
                <c:pt idx="15">
                  <c:v>693</c:v>
                </c:pt>
                <c:pt idx="16">
                  <c:v>890</c:v>
                </c:pt>
                <c:pt idx="17">
                  <c:v>890.5</c:v>
                </c:pt>
                <c:pt idx="18">
                  <c:v>1036</c:v>
                </c:pt>
                <c:pt idx="19">
                  <c:v>1141.5</c:v>
                </c:pt>
                <c:pt idx="20">
                  <c:v>1397</c:v>
                </c:pt>
                <c:pt idx="21">
                  <c:v>1479</c:v>
                </c:pt>
                <c:pt idx="22">
                  <c:v>1567.5</c:v>
                </c:pt>
                <c:pt idx="23">
                  <c:v>1569</c:v>
                </c:pt>
                <c:pt idx="24">
                  <c:v>1983.5</c:v>
                </c:pt>
                <c:pt idx="25">
                  <c:v>1988.5</c:v>
                </c:pt>
                <c:pt idx="26">
                  <c:v>2433</c:v>
                </c:pt>
                <c:pt idx="27">
                  <c:v>2433</c:v>
                </c:pt>
                <c:pt idx="28">
                  <c:v>2433</c:v>
                </c:pt>
                <c:pt idx="29">
                  <c:v>3215</c:v>
                </c:pt>
                <c:pt idx="30">
                  <c:v>3215.5</c:v>
                </c:pt>
                <c:pt idx="31">
                  <c:v>3304.5</c:v>
                </c:pt>
                <c:pt idx="32">
                  <c:v>3483</c:v>
                </c:pt>
                <c:pt idx="33">
                  <c:v>3987</c:v>
                </c:pt>
                <c:pt idx="34">
                  <c:v>4335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17">
                  <c:v>-1.7071182229991724E-2</c:v>
                </c:pt>
                <c:pt idx="18">
                  <c:v>-4.430337305796242E-3</c:v>
                </c:pt>
                <c:pt idx="19">
                  <c:v>4.735361247486386E-3</c:v>
                </c:pt>
                <c:pt idx="20">
                  <c:v>2.6932858691692207E-2</c:v>
                </c:pt>
                <c:pt idx="21">
                  <c:v>3.4056908752063547E-2</c:v>
                </c:pt>
                <c:pt idx="22">
                  <c:v>4.1745670097708215E-2</c:v>
                </c:pt>
                <c:pt idx="23">
                  <c:v>4.1875988086617438E-2</c:v>
                </c:pt>
                <c:pt idx="24">
                  <c:v>7.7887192355201834E-2</c:v>
                </c:pt>
                <c:pt idx="25">
                  <c:v>7.8321585651565939E-2</c:v>
                </c:pt>
                <c:pt idx="26">
                  <c:v>0.11693914969833494</c:v>
                </c:pt>
                <c:pt idx="27">
                  <c:v>0.11693914969833494</c:v>
                </c:pt>
                <c:pt idx="28">
                  <c:v>0.11693914969833494</c:v>
                </c:pt>
                <c:pt idx="29">
                  <c:v>0.1848782612496811</c:v>
                </c:pt>
                <c:pt idx="30">
                  <c:v>0.18492170057931751</c:v>
                </c:pt>
                <c:pt idx="31">
                  <c:v>0.19265390125459858</c:v>
                </c:pt>
                <c:pt idx="32">
                  <c:v>0.2081617419347972</c:v>
                </c:pt>
                <c:pt idx="33">
                  <c:v>0.25194858620829907</c:v>
                </c:pt>
                <c:pt idx="34">
                  <c:v>0.28218235963524085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1C-453C-98D5-DA7FE89E382F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Active!$V$2:$V$17</c:f>
              <c:numCache>
                <c:formatCode>General</c:formatCode>
                <c:ptCount val="16"/>
                <c:pt idx="0">
                  <c:v>-4000</c:v>
                </c:pt>
                <c:pt idx="1">
                  <c:v>-3500</c:v>
                </c:pt>
                <c:pt idx="2">
                  <c:v>-3000</c:v>
                </c:pt>
                <c:pt idx="3">
                  <c:v>-2500</c:v>
                </c:pt>
                <c:pt idx="4">
                  <c:v>-2000</c:v>
                </c:pt>
                <c:pt idx="5">
                  <c:v>-1500</c:v>
                </c:pt>
                <c:pt idx="6">
                  <c:v>-1000</c:v>
                </c:pt>
                <c:pt idx="7">
                  <c:v>-500</c:v>
                </c:pt>
                <c:pt idx="8">
                  <c:v>0</c:v>
                </c:pt>
                <c:pt idx="9">
                  <c:v>500</c:v>
                </c:pt>
                <c:pt idx="10">
                  <c:v>1000</c:v>
                </c:pt>
                <c:pt idx="11">
                  <c:v>1500</c:v>
                </c:pt>
                <c:pt idx="12">
                  <c:v>2000</c:v>
                </c:pt>
                <c:pt idx="13">
                  <c:v>2500</c:v>
                </c:pt>
                <c:pt idx="14">
                  <c:v>3000</c:v>
                </c:pt>
                <c:pt idx="15">
                  <c:v>3500</c:v>
                </c:pt>
              </c:numCache>
            </c:numRef>
          </c:xVal>
          <c:yVal>
            <c:numRef>
              <c:f>Active!$W$2:$W$17</c:f>
              <c:numCache>
                <c:formatCode>General</c:formatCode>
                <c:ptCount val="16"/>
                <c:pt idx="0">
                  <c:v>-9.3449118333364667E-3</c:v>
                </c:pt>
                <c:pt idx="1">
                  <c:v>-2.1666967707128837E-2</c:v>
                </c:pt>
                <c:pt idx="2">
                  <c:v>-3.0152727099872378E-2</c:v>
                </c:pt>
                <c:pt idx="3">
                  <c:v>-3.4802190011567119E-2</c:v>
                </c:pt>
                <c:pt idx="4">
                  <c:v>-3.5615356442213045E-2</c:v>
                </c:pt>
                <c:pt idx="5">
                  <c:v>-3.2592226391810156E-2</c:v>
                </c:pt>
                <c:pt idx="6">
                  <c:v>-2.5732799860358455E-2</c:v>
                </c:pt>
                <c:pt idx="7">
                  <c:v>-1.5037076847857943E-2</c:v>
                </c:pt>
                <c:pt idx="8">
                  <c:v>-5.0505735430861581E-4</c:v>
                </c:pt>
                <c:pt idx="9">
                  <c:v>1.7863258620289525E-2</c:v>
                </c:pt>
                <c:pt idx="10">
                  <c:v>4.0067871075936484E-2</c:v>
                </c:pt>
                <c:pt idx="11">
                  <c:v>6.6108780012632248E-2</c:v>
                </c:pt>
                <c:pt idx="12">
                  <c:v>9.5985985430376827E-2</c:v>
                </c:pt>
                <c:pt idx="13">
                  <c:v>0.12969948732917022</c:v>
                </c:pt>
                <c:pt idx="14">
                  <c:v>0.16724928570901243</c:v>
                </c:pt>
                <c:pt idx="15">
                  <c:v>0.20863538056990344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81C-453C-98D5-DA7FE89E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70624"/>
        <c:axId val="1"/>
      </c:scatterChart>
      <c:valAx>
        <c:axId val="796770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69216810861607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82716049382713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70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518550921875504"/>
          <c:y val="0.92073298764483702"/>
          <c:w val="0.7376554551051488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590550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AE44A79-74D5-D9A1-0921-41FFFF114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3" TargetMode="External"/><Relationship Id="rId3" Type="http://schemas.openxmlformats.org/officeDocument/2006/relationships/hyperlink" Target="http://www.konkoly.hu/cgi-bin/IBVS?4061" TargetMode="External"/><Relationship Id="rId7" Type="http://schemas.openxmlformats.org/officeDocument/2006/relationships/hyperlink" Target="http://www.bav-astro.de/sfs/BAVM_link.php?BAVMnr=203" TargetMode="External"/><Relationship Id="rId2" Type="http://schemas.openxmlformats.org/officeDocument/2006/relationships/hyperlink" Target="http://www.konkoly.hu/cgi-bin/IBVS?4061" TargetMode="External"/><Relationship Id="rId1" Type="http://schemas.openxmlformats.org/officeDocument/2006/relationships/hyperlink" Target="http://www.konkoly.hu/cgi-bin/IBVS?4061" TargetMode="External"/><Relationship Id="rId6" Type="http://schemas.openxmlformats.org/officeDocument/2006/relationships/hyperlink" Target="http://www.bav-astro.de/sfs/BAVM_link.php?BAVMnr=132" TargetMode="External"/><Relationship Id="rId5" Type="http://schemas.openxmlformats.org/officeDocument/2006/relationships/hyperlink" Target="http://www.bav-astro.de/sfs/BAVM_link.php?BAVMnr=132" TargetMode="External"/><Relationship Id="rId10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www.konkoly.hu/cgi-bin/IBVS?4061" TargetMode="External"/><Relationship Id="rId9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1271"/>
  <sheetViews>
    <sheetView tabSelected="1" workbookViewId="0">
      <pane xSplit="14" ySplit="21" topLeftCell="O40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>
      <c r="A1" s="1" t="s">
        <v>47</v>
      </c>
      <c r="V1" s="6" t="s">
        <v>10</v>
      </c>
      <c r="W1" s="8" t="s">
        <v>21</v>
      </c>
    </row>
    <row r="2" spans="1:23">
      <c r="A2" t="s">
        <v>23</v>
      </c>
      <c r="B2" s="27" t="s">
        <v>45</v>
      </c>
      <c r="V2" s="60">
        <v>-4000</v>
      </c>
      <c r="W2" s="60">
        <f>+D$11+D$12*V2+D$13*V2^2</f>
        <v>-9.3449118333364667E-3</v>
      </c>
    </row>
    <row r="3" spans="1:23" ht="13.5" thickBot="1">
      <c r="V3" s="60">
        <v>-3500</v>
      </c>
      <c r="W3" s="60">
        <f>+D$11+D$12*V3+D$13*V3^2</f>
        <v>-2.1666967707128837E-2</v>
      </c>
    </row>
    <row r="4" spans="1:23" ht="14.25" thickTop="1" thickBot="1">
      <c r="A4" s="7" t="s">
        <v>1</v>
      </c>
      <c r="C4" s="3">
        <v>41164.332000000002</v>
      </c>
      <c r="D4" s="4">
        <v>4.2124240000000004</v>
      </c>
      <c r="V4" s="60">
        <v>-3000</v>
      </c>
      <c r="W4" s="60">
        <f t="shared" ref="W4:W18" si="0">+D$11+D$12*V4+D$13*V4^2</f>
        <v>-3.0152727099872378E-2</v>
      </c>
    </row>
    <row r="5" spans="1:23" ht="13.5" thickTop="1">
      <c r="A5" s="12" t="s">
        <v>37</v>
      </c>
      <c r="B5" s="13"/>
      <c r="C5" s="14">
        <v>-9.5</v>
      </c>
      <c r="D5" s="13" t="s">
        <v>38</v>
      </c>
      <c r="V5" s="60">
        <v>-2500</v>
      </c>
      <c r="W5" s="60">
        <f t="shared" si="0"/>
        <v>-3.4802190011567119E-2</v>
      </c>
    </row>
    <row r="6" spans="1:23">
      <c r="A6" s="7" t="s">
        <v>2</v>
      </c>
      <c r="V6" s="60">
        <v>-2000</v>
      </c>
      <c r="W6" s="60">
        <f t="shared" si="0"/>
        <v>-3.5615356442213045E-2</v>
      </c>
    </row>
    <row r="7" spans="1:23">
      <c r="A7" t="s">
        <v>3</v>
      </c>
      <c r="C7">
        <f>+C4</f>
        <v>41164.332000000002</v>
      </c>
      <c r="V7" s="60">
        <v>-1500</v>
      </c>
      <c r="W7" s="60">
        <f t="shared" si="0"/>
        <v>-3.2592226391810156E-2</v>
      </c>
    </row>
    <row r="8" spans="1:23">
      <c r="A8" t="s">
        <v>4</v>
      </c>
      <c r="C8">
        <f>+D4</f>
        <v>4.2124240000000004</v>
      </c>
      <c r="V8" s="60">
        <v>-1000</v>
      </c>
      <c r="W8" s="60">
        <f t="shared" si="0"/>
        <v>-2.5732799860358455E-2</v>
      </c>
    </row>
    <row r="9" spans="1:23">
      <c r="A9" s="25" t="s">
        <v>44</v>
      </c>
      <c r="B9" s="26">
        <v>47</v>
      </c>
      <c r="C9" s="16" t="str">
        <f>"F"&amp;B9</f>
        <v>F47</v>
      </c>
      <c r="D9" s="17" t="str">
        <f>"G"&amp;B9</f>
        <v>G47</v>
      </c>
      <c r="V9" s="60">
        <v>-500</v>
      </c>
      <c r="W9" s="60">
        <f t="shared" si="0"/>
        <v>-1.5037076847857943E-2</v>
      </c>
    </row>
    <row r="10" spans="1:23" ht="13.5" thickBot="1">
      <c r="A10" s="13"/>
      <c r="B10" s="13"/>
      <c r="C10" s="6" t="s">
        <v>19</v>
      </c>
      <c r="D10" s="6" t="s">
        <v>20</v>
      </c>
      <c r="E10" s="13"/>
      <c r="V10" s="60">
        <v>0</v>
      </c>
      <c r="W10" s="60">
        <f t="shared" si="0"/>
        <v>-5.0505735430861581E-4</v>
      </c>
    </row>
    <row r="11" spans="1:23">
      <c r="A11" s="13" t="s">
        <v>16</v>
      </c>
      <c r="B11" s="13"/>
      <c r="C11" s="15">
        <f ca="1">INTERCEPT(INDIRECT($D$9):G992,INDIRECT($C$9):F992)</f>
        <v>-9.4436628312438986E-2</v>
      </c>
      <c r="D11" s="21">
        <f>+E11*F11</f>
        <v>-5.0505735430861581E-4</v>
      </c>
      <c r="E11" s="50">
        <v>-5.0505735430861581E-4</v>
      </c>
      <c r="F11">
        <v>1</v>
      </c>
      <c r="V11" s="60">
        <v>500</v>
      </c>
      <c r="W11" s="60">
        <f t="shared" si="0"/>
        <v>1.7863258620289525E-2</v>
      </c>
    </row>
    <row r="12" spans="1:23">
      <c r="A12" s="13" t="s">
        <v>17</v>
      </c>
      <c r="B12" s="13"/>
      <c r="C12" s="15">
        <f ca="1">SLOPE(INDIRECT($D$9):G992,INDIRECT($C$9):F992)</f>
        <v>8.6878659272821181E-5</v>
      </c>
      <c r="D12" s="21">
        <f>+E12*F12</f>
        <v>3.290033546814747E-5</v>
      </c>
      <c r="E12" s="51">
        <v>0.32900335468147468</v>
      </c>
      <c r="F12" s="49">
        <v>1E-4</v>
      </c>
      <c r="V12" s="60">
        <v>1000</v>
      </c>
      <c r="W12" s="60">
        <f t="shared" si="0"/>
        <v>4.0067871075936484E-2</v>
      </c>
    </row>
    <row r="13" spans="1:23" ht="13.5" thickBot="1">
      <c r="A13" s="13"/>
      <c r="B13" s="13"/>
      <c r="C13" s="5"/>
      <c r="D13" s="21">
        <f>+E13*F13</f>
        <v>7.672592962097626E-9</v>
      </c>
      <c r="E13" s="52">
        <v>0.76725929620976252</v>
      </c>
      <c r="F13" s="49">
        <v>1E-8</v>
      </c>
      <c r="V13" s="60">
        <v>1500</v>
      </c>
      <c r="W13" s="60">
        <f t="shared" si="0"/>
        <v>6.6108780012632248E-2</v>
      </c>
    </row>
    <row r="14" spans="1:23">
      <c r="A14" s="13"/>
      <c r="B14" s="13"/>
      <c r="C14" s="13"/>
      <c r="E14">
        <f>SUM(R21:R9295)</f>
        <v>8.5290100513933341E-3</v>
      </c>
      <c r="V14" s="60">
        <v>2000</v>
      </c>
      <c r="W14" s="60">
        <f t="shared" si="0"/>
        <v>9.5985985430376827E-2</v>
      </c>
    </row>
    <row r="15" spans="1:23">
      <c r="A15" s="20" t="s">
        <v>18</v>
      </c>
      <c r="B15" s="13"/>
      <c r="C15" s="21">
        <f ca="1">(C7+C11)+(C8+C12)*INT(MAX(F21:F3533))</f>
        <v>59425.472222359633</v>
      </c>
      <c r="D15" s="53">
        <f>+C7+INT(MAX(F21:F1583))*C8+D11+D12*INT(MAX(F21:F4018))+D13*INT(MAX(F21:F4045)^2)</f>
        <v>59425.47634299018</v>
      </c>
      <c r="E15" s="18" t="s">
        <v>39</v>
      </c>
      <c r="F15" s="14">
        <v>1</v>
      </c>
      <c r="V15" s="60">
        <v>2500</v>
      </c>
      <c r="W15" s="60">
        <f t="shared" si="0"/>
        <v>0.12969948732917022</v>
      </c>
    </row>
    <row r="16" spans="1:23">
      <c r="A16" s="22" t="s">
        <v>5</v>
      </c>
      <c r="B16" s="13"/>
      <c r="C16" s="23">
        <f ca="1">+C8+C12</f>
        <v>4.2125108786592733</v>
      </c>
      <c r="D16" s="53">
        <f>+C8+D12+2*D13*MAX(F21:F896)</f>
        <v>4.2125234217164502</v>
      </c>
      <c r="E16" s="18" t="s">
        <v>40</v>
      </c>
      <c r="F16" s="19">
        <f ca="1">NOW()+15018.5+$C$5/24</f>
        <v>59956.834294791661</v>
      </c>
      <c r="V16" s="60">
        <v>3000</v>
      </c>
      <c r="W16" s="60">
        <f t="shared" si="0"/>
        <v>0.16724928570901243</v>
      </c>
    </row>
    <row r="17" spans="1:23" ht="13.5" thickBot="1">
      <c r="A17" s="18" t="s">
        <v>36</v>
      </c>
      <c r="B17" s="13"/>
      <c r="C17" s="13">
        <f>COUNT(C21:C2191)</f>
        <v>35</v>
      </c>
      <c r="E17" s="18" t="s">
        <v>41</v>
      </c>
      <c r="F17" s="19">
        <f ca="1">ROUND(2*(F16-$C$7)/$C$8,0)/2+F15</f>
        <v>4462</v>
      </c>
      <c r="V17" s="60">
        <v>3500</v>
      </c>
      <c r="W17" s="60">
        <f t="shared" si="0"/>
        <v>0.20863538056990344</v>
      </c>
    </row>
    <row r="18" spans="1:23" ht="14.25" thickTop="1" thickBot="1">
      <c r="A18" s="54" t="s">
        <v>193</v>
      </c>
      <c r="B18" s="13"/>
      <c r="C18" s="55">
        <f ca="1">+C15</f>
        <v>59425.472222359633</v>
      </c>
      <c r="D18" s="56">
        <f ca="1">+C16</f>
        <v>4.2125108786592733</v>
      </c>
      <c r="E18" s="18" t="s">
        <v>42</v>
      </c>
      <c r="F18" s="17">
        <f ca="1">ROUND(2*(F16-$C$15)/$C$16,0)/2+F15</f>
        <v>127</v>
      </c>
      <c r="V18" s="60">
        <v>4000</v>
      </c>
      <c r="W18" s="60">
        <f t="shared" si="0"/>
        <v>0.25385777191184328</v>
      </c>
    </row>
    <row r="19" spans="1:23" ht="14.25" thickTop="1" thickBot="1">
      <c r="A19" s="57" t="s">
        <v>194</v>
      </c>
      <c r="C19" s="58">
        <f>+D15</f>
        <v>59425.47634299018</v>
      </c>
      <c r="D19" s="59">
        <f>+D16</f>
        <v>4.2125234217164502</v>
      </c>
      <c r="E19" s="18" t="s">
        <v>43</v>
      </c>
      <c r="F19" s="24">
        <f ca="1">+$C$15+$C$16*F18-15018.5-$C$5/24</f>
        <v>44942.356937282697</v>
      </c>
    </row>
    <row r="20" spans="1:23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55</v>
      </c>
      <c r="I20" s="9" t="s">
        <v>58</v>
      </c>
      <c r="J20" s="9" t="s">
        <v>52</v>
      </c>
      <c r="K20" s="9" t="s">
        <v>50</v>
      </c>
      <c r="L20" s="9" t="s">
        <v>24</v>
      </c>
      <c r="M20" s="9" t="s">
        <v>25</v>
      </c>
      <c r="N20" s="9" t="s">
        <v>26</v>
      </c>
      <c r="O20" s="9" t="s">
        <v>22</v>
      </c>
      <c r="P20" s="8" t="s">
        <v>21</v>
      </c>
      <c r="Q20" s="6" t="s">
        <v>15</v>
      </c>
    </row>
    <row r="21" spans="1:23">
      <c r="A21" s="47" t="s">
        <v>66</v>
      </c>
      <c r="B21" s="48" t="s">
        <v>35</v>
      </c>
      <c r="C21" s="47">
        <v>29879.23</v>
      </c>
      <c r="D21" s="47" t="s">
        <v>58</v>
      </c>
      <c r="E21">
        <f t="shared" ref="E21:E53" si="1">+(C21-C$7)/C$8</f>
        <v>-2679.0042977629987</v>
      </c>
      <c r="F21">
        <f t="shared" ref="F21:F54" si="2">ROUND(2*E21,0)/2</f>
        <v>-2679</v>
      </c>
      <c r="G21">
        <f t="shared" ref="G21:G53" si="3">+C21-(C$7+F21*C$8)</f>
        <v>-1.8103999998857034E-2</v>
      </c>
      <c r="I21">
        <f t="shared" ref="I21:I33" si="4">+G21</f>
        <v>-1.8103999998857034E-2</v>
      </c>
      <c r="P21">
        <f>+D$11+D$12*F21+D$13*F21^2</f>
        <v>-3.3578541808189574E-2</v>
      </c>
      <c r="Q21" s="2">
        <f t="shared" ref="Q21:Q53" si="5">+C21-15018.5</f>
        <v>14860.73</v>
      </c>
      <c r="R21">
        <f>(P21-G21)^2</f>
        <v>2.3946144420878079E-4</v>
      </c>
    </row>
    <row r="22" spans="1:23">
      <c r="A22" s="47" t="s">
        <v>66</v>
      </c>
      <c r="B22" s="48" t="s">
        <v>35</v>
      </c>
      <c r="C22" s="47">
        <v>30578.49</v>
      </c>
      <c r="D22" s="47" t="s">
        <v>58</v>
      </c>
      <c r="E22">
        <f t="shared" si="1"/>
        <v>-2513.0048637079267</v>
      </c>
      <c r="F22">
        <f t="shared" si="2"/>
        <v>-2513</v>
      </c>
      <c r="G22">
        <f t="shared" si="3"/>
        <v>-2.0487999998294981E-2</v>
      </c>
      <c r="I22">
        <f t="shared" si="4"/>
        <v>-2.0487999998294981E-2</v>
      </c>
      <c r="P22">
        <f t="shared" ref="P22:P53" si="6">+D$11+D$12*F22+D$13*F22^2</f>
        <v>-3.4729879161906105E-2</v>
      </c>
      <c r="Q22" s="2">
        <f t="shared" si="5"/>
        <v>15559.990000000002</v>
      </c>
      <c r="R22">
        <f t="shared" ref="R22:R53" si="7">(P22-G22)^2</f>
        <v>2.0283112211090068E-4</v>
      </c>
    </row>
    <row r="23" spans="1:23">
      <c r="A23" s="47" t="s">
        <v>74</v>
      </c>
      <c r="B23" s="48" t="s">
        <v>35</v>
      </c>
      <c r="C23" s="47">
        <v>30856.452000000001</v>
      </c>
      <c r="D23" s="47" t="s">
        <v>58</v>
      </c>
      <c r="E23">
        <f t="shared" si="1"/>
        <v>-2447.0186287040433</v>
      </c>
      <c r="F23">
        <f t="shared" si="2"/>
        <v>-2447</v>
      </c>
      <c r="G23">
        <f t="shared" si="3"/>
        <v>-7.8471999997418607E-2</v>
      </c>
      <c r="I23">
        <f t="shared" si="4"/>
        <v>-7.8471999997418607E-2</v>
      </c>
      <c r="P23">
        <f t="shared" si="6"/>
        <v>-3.5070157053080642E-2</v>
      </c>
      <c r="Q23" s="2">
        <f t="shared" si="5"/>
        <v>15837.952000000001</v>
      </c>
      <c r="R23">
        <f t="shared" si="7"/>
        <v>1.8837199709649793E-3</v>
      </c>
    </row>
    <row r="24" spans="1:23">
      <c r="A24" s="47" t="s">
        <v>66</v>
      </c>
      <c r="B24" s="48" t="s">
        <v>35</v>
      </c>
      <c r="C24" s="47">
        <v>30961.797999999999</v>
      </c>
      <c r="D24" s="47" t="s">
        <v>58</v>
      </c>
      <c r="E24">
        <f t="shared" si="1"/>
        <v>-2422.0102249915967</v>
      </c>
      <c r="F24">
        <f t="shared" si="2"/>
        <v>-2422</v>
      </c>
      <c r="G24">
        <f t="shared" si="3"/>
        <v>-4.3072000004030997E-2</v>
      </c>
      <c r="I24">
        <f t="shared" si="4"/>
        <v>-4.3072000004030997E-2</v>
      </c>
      <c r="P24">
        <f t="shared" si="6"/>
        <v>-3.5181595044688291E-2</v>
      </c>
      <c r="Q24" s="2">
        <f t="shared" si="5"/>
        <v>15943.297999999999</v>
      </c>
      <c r="R24">
        <f t="shared" si="7"/>
        <v>6.2258490422419972E-5</v>
      </c>
    </row>
    <row r="25" spans="1:23">
      <c r="A25" s="47" t="s">
        <v>66</v>
      </c>
      <c r="B25" s="48" t="s">
        <v>35</v>
      </c>
      <c r="C25" s="47">
        <v>32061.258999999998</v>
      </c>
      <c r="D25" s="47" t="s">
        <v>58</v>
      </c>
      <c r="E25">
        <f t="shared" si="1"/>
        <v>-2161.005872153421</v>
      </c>
      <c r="F25">
        <f t="shared" si="2"/>
        <v>-2161</v>
      </c>
      <c r="G25">
        <f t="shared" si="3"/>
        <v>-2.4736000003031222E-2</v>
      </c>
      <c r="I25">
        <f t="shared" si="4"/>
        <v>-2.4736000003031222E-2</v>
      </c>
      <c r="P25">
        <f t="shared" si="6"/>
        <v>-3.5772279302823395E-2</v>
      </c>
      <c r="Q25" s="2">
        <f t="shared" si="5"/>
        <v>17042.758999999998</v>
      </c>
      <c r="R25">
        <f t="shared" si="7"/>
        <v>1.2179946078302123E-4</v>
      </c>
    </row>
    <row r="26" spans="1:23">
      <c r="A26" s="47" t="s">
        <v>66</v>
      </c>
      <c r="B26" s="48" t="s">
        <v>35</v>
      </c>
      <c r="C26" s="47">
        <v>32448.81</v>
      </c>
      <c r="D26" s="47" t="s">
        <v>58</v>
      </c>
      <c r="E26">
        <f t="shared" si="1"/>
        <v>-2069.0039749085086</v>
      </c>
      <c r="F26">
        <f t="shared" si="2"/>
        <v>-2069</v>
      </c>
      <c r="G26">
        <f t="shared" si="3"/>
        <v>-1.6744000000471715E-2</v>
      </c>
      <c r="I26">
        <f t="shared" si="4"/>
        <v>-1.6744000000471715E-2</v>
      </c>
      <c r="P26">
        <f t="shared" si="6"/>
        <v>-3.573131471688374E-2</v>
      </c>
      <c r="Q26" s="2">
        <f t="shared" si="5"/>
        <v>17430.310000000001</v>
      </c>
      <c r="R26">
        <f t="shared" si="7"/>
        <v>3.6051812014007665E-4</v>
      </c>
    </row>
    <row r="27" spans="1:23">
      <c r="A27" s="47" t="s">
        <v>66</v>
      </c>
      <c r="B27" s="48" t="s">
        <v>35</v>
      </c>
      <c r="C27" s="47">
        <v>33122.75</v>
      </c>
      <c r="D27" s="47" t="s">
        <v>58</v>
      </c>
      <c r="E27">
        <f t="shared" si="1"/>
        <v>-1909.0153317899626</v>
      </c>
      <c r="F27">
        <f t="shared" si="2"/>
        <v>-1909</v>
      </c>
      <c r="G27">
        <f t="shared" si="3"/>
        <v>-6.4583999999740627E-2</v>
      </c>
      <c r="I27">
        <f t="shared" si="4"/>
        <v>-6.4583999999740627E-2</v>
      </c>
      <c r="P27">
        <f t="shared" si="6"/>
        <v>-3.535071301049604E-2</v>
      </c>
      <c r="Q27" s="2">
        <f t="shared" si="5"/>
        <v>18104.25</v>
      </c>
      <c r="R27">
        <f t="shared" si="7"/>
        <v>8.5458506819553683E-4</v>
      </c>
    </row>
    <row r="28" spans="1:23">
      <c r="A28" s="47" t="s">
        <v>66</v>
      </c>
      <c r="B28" s="48" t="s">
        <v>35</v>
      </c>
      <c r="C28" s="47">
        <v>33181.760000000002</v>
      </c>
      <c r="D28" s="47" t="s">
        <v>58</v>
      </c>
      <c r="E28">
        <f t="shared" si="1"/>
        <v>-1895.0067704485587</v>
      </c>
      <c r="F28">
        <f t="shared" si="2"/>
        <v>-1895</v>
      </c>
      <c r="G28">
        <f t="shared" si="3"/>
        <v>-2.8519999999844003E-2</v>
      </c>
      <c r="I28">
        <f t="shared" si="4"/>
        <v>-2.8519999999844003E-2</v>
      </c>
      <c r="P28">
        <f t="shared" si="6"/>
        <v>-3.5298719924731436E-2</v>
      </c>
      <c r="Q28" s="2">
        <f t="shared" si="5"/>
        <v>18163.260000000002</v>
      </c>
      <c r="R28">
        <f t="shared" si="7"/>
        <v>4.5951043820065883E-5</v>
      </c>
    </row>
    <row r="29" spans="1:23">
      <c r="A29" s="47" t="s">
        <v>94</v>
      </c>
      <c r="B29" s="48" t="s">
        <v>35</v>
      </c>
      <c r="C29" s="47">
        <v>37920.748</v>
      </c>
      <c r="D29" s="47" t="s">
        <v>58</v>
      </c>
      <c r="E29">
        <f t="shared" si="1"/>
        <v>-770.00415912548272</v>
      </c>
      <c r="F29">
        <f t="shared" si="2"/>
        <v>-770</v>
      </c>
      <c r="G29">
        <f t="shared" si="3"/>
        <v>-1.7520000001240987E-2</v>
      </c>
      <c r="I29">
        <f t="shared" si="4"/>
        <v>-1.7520000001240987E-2</v>
      </c>
      <c r="P29">
        <f t="shared" si="6"/>
        <v>-2.1289235297554485E-2</v>
      </c>
      <c r="Q29" s="2">
        <f t="shared" si="5"/>
        <v>22902.248</v>
      </c>
      <c r="R29">
        <f t="shared" si="7"/>
        <v>1.4207134718975497E-5</v>
      </c>
    </row>
    <row r="30" spans="1:23">
      <c r="A30" s="47" t="s">
        <v>99</v>
      </c>
      <c r="B30" s="48" t="s">
        <v>35</v>
      </c>
      <c r="C30" s="47">
        <v>38628.442000000003</v>
      </c>
      <c r="D30" s="47" t="s">
        <v>58</v>
      </c>
      <c r="E30">
        <f t="shared" si="1"/>
        <v>-602.00255244961079</v>
      </c>
      <c r="F30">
        <f t="shared" si="2"/>
        <v>-602</v>
      </c>
      <c r="G30">
        <f t="shared" si="3"/>
        <v>-1.075200000195764E-2</v>
      </c>
      <c r="I30">
        <f t="shared" si="4"/>
        <v>-1.075200000195764E-2</v>
      </c>
      <c r="P30">
        <f t="shared" si="6"/>
        <v>-1.7530480926297363E-2</v>
      </c>
      <c r="Q30" s="2">
        <f t="shared" si="5"/>
        <v>23609.942000000003</v>
      </c>
      <c r="R30">
        <f t="shared" si="7"/>
        <v>4.5947803641637502E-5</v>
      </c>
    </row>
    <row r="31" spans="1:23">
      <c r="A31" s="47" t="s">
        <v>104</v>
      </c>
      <c r="B31" s="48" t="s">
        <v>35</v>
      </c>
      <c r="C31" s="47">
        <v>38636.887000000002</v>
      </c>
      <c r="D31" s="47" t="s">
        <v>58</v>
      </c>
      <c r="E31">
        <f t="shared" si="1"/>
        <v>-599.99776850573437</v>
      </c>
      <c r="F31">
        <f t="shared" si="2"/>
        <v>-600</v>
      </c>
      <c r="G31">
        <f t="shared" si="3"/>
        <v>9.4000000026426278E-3</v>
      </c>
      <c r="I31">
        <f t="shared" si="4"/>
        <v>9.4000000026426278E-3</v>
      </c>
      <c r="P31">
        <f t="shared" si="6"/>
        <v>-1.7483125168841953E-2</v>
      </c>
      <c r="Q31" s="2">
        <f t="shared" si="5"/>
        <v>23618.387000000002</v>
      </c>
      <c r="R31">
        <f t="shared" si="7"/>
        <v>7.2270241898570787E-4</v>
      </c>
    </row>
    <row r="32" spans="1:23">
      <c r="A32" s="47" t="s">
        <v>109</v>
      </c>
      <c r="B32" s="48" t="s">
        <v>35</v>
      </c>
      <c r="C32" s="47">
        <v>38982.277000000002</v>
      </c>
      <c r="D32" s="47" t="s">
        <v>58</v>
      </c>
      <c r="E32">
        <f t="shared" si="1"/>
        <v>-518.00459782775908</v>
      </c>
      <c r="F32">
        <f t="shared" si="2"/>
        <v>-518</v>
      </c>
      <c r="G32">
        <f t="shared" si="3"/>
        <v>-1.9368000001122709E-2</v>
      </c>
      <c r="I32">
        <f t="shared" si="4"/>
        <v>-1.9368000001122709E-2</v>
      </c>
      <c r="P32">
        <f t="shared" si="6"/>
        <v>-1.5488690292847123E-2</v>
      </c>
      <c r="Q32" s="2">
        <f t="shared" si="5"/>
        <v>23963.777000000002</v>
      </c>
      <c r="R32">
        <f t="shared" si="7"/>
        <v>1.5049043812721217E-5</v>
      </c>
    </row>
    <row r="33" spans="1:32">
      <c r="A33" s="47" t="s">
        <v>114</v>
      </c>
      <c r="B33" s="48" t="s">
        <v>35</v>
      </c>
      <c r="C33" s="47">
        <v>39020.186000000002</v>
      </c>
      <c r="D33" s="47" t="s">
        <v>58</v>
      </c>
      <c r="E33">
        <f t="shared" si="1"/>
        <v>-509.00526632646677</v>
      </c>
      <c r="F33">
        <f t="shared" si="2"/>
        <v>-509</v>
      </c>
      <c r="G33">
        <f t="shared" si="3"/>
        <v>-2.218400000128895E-2</v>
      </c>
      <c r="I33">
        <f t="shared" si="4"/>
        <v>-2.218400000128895E-2</v>
      </c>
      <c r="P33">
        <f t="shared" si="6"/>
        <v>-1.5263505050382464E-2</v>
      </c>
      <c r="Q33" s="2">
        <f t="shared" si="5"/>
        <v>24001.686000000002</v>
      </c>
      <c r="R33">
        <f t="shared" si="7"/>
        <v>4.7893250365522175E-5</v>
      </c>
    </row>
    <row r="34" spans="1:32" ht="12.75" customHeight="1">
      <c r="A34" t="s">
        <v>12</v>
      </c>
      <c r="C34" s="10">
        <v>41164.332000000002</v>
      </c>
      <c r="D34" s="10" t="s">
        <v>14</v>
      </c>
      <c r="E34">
        <f t="shared" si="1"/>
        <v>0</v>
      </c>
      <c r="F34">
        <f t="shared" si="2"/>
        <v>0</v>
      </c>
      <c r="G34">
        <f t="shared" si="3"/>
        <v>0</v>
      </c>
      <c r="H34">
        <f>+G34</f>
        <v>0</v>
      </c>
      <c r="P34">
        <f t="shared" si="6"/>
        <v>-5.0505735430861581E-4</v>
      </c>
      <c r="Q34" s="2">
        <f t="shared" si="5"/>
        <v>26145.832000000002</v>
      </c>
      <c r="R34">
        <f t="shared" si="7"/>
        <v>2.5508293114121868E-7</v>
      </c>
    </row>
    <row r="35" spans="1:32">
      <c r="A35" s="47" t="s">
        <v>109</v>
      </c>
      <c r="B35" s="48" t="s">
        <v>35</v>
      </c>
      <c r="C35" s="47">
        <v>41185.404000000002</v>
      </c>
      <c r="D35" s="47" t="s">
        <v>58</v>
      </c>
      <c r="E35">
        <f t="shared" si="1"/>
        <v>5.0023454429089078</v>
      </c>
      <c r="F35">
        <f t="shared" si="2"/>
        <v>5</v>
      </c>
      <c r="G35">
        <f t="shared" si="3"/>
        <v>9.8799999977927655E-3</v>
      </c>
      <c r="I35">
        <f t="shared" ref="I35:I47" si="8">+G35</f>
        <v>9.8799999977927655E-3</v>
      </c>
      <c r="P35">
        <f t="shared" si="6"/>
        <v>-3.40363862143826E-4</v>
      </c>
      <c r="Q35" s="2">
        <f t="shared" si="5"/>
        <v>26166.904000000002</v>
      </c>
      <c r="R35">
        <f t="shared" si="7"/>
        <v>1.0445583742949799E-4</v>
      </c>
    </row>
    <row r="36" spans="1:32" ht="12.75" customHeight="1">
      <c r="A36" s="28" t="s">
        <v>28</v>
      </c>
      <c r="B36" s="29"/>
      <c r="C36" s="30">
        <v>44083.544999999998</v>
      </c>
      <c r="D36" s="31"/>
      <c r="E36">
        <f t="shared" si="1"/>
        <v>693.00075206104509</v>
      </c>
      <c r="F36">
        <f t="shared" si="2"/>
        <v>693</v>
      </c>
      <c r="G36">
        <f t="shared" si="3"/>
        <v>3.1679999956395477E-3</v>
      </c>
      <c r="I36">
        <f t="shared" si="8"/>
        <v>3.1679999956395477E-3</v>
      </c>
      <c r="P36">
        <f t="shared" si="6"/>
        <v>2.5979630222571999E-2</v>
      </c>
      <c r="Q36" s="2">
        <f t="shared" si="5"/>
        <v>29065.044999999998</v>
      </c>
      <c r="R36">
        <f t="shared" si="7"/>
        <v>5.2037047361029826E-4</v>
      </c>
      <c r="AC36">
        <v>18</v>
      </c>
      <c r="AD36" t="s">
        <v>27</v>
      </c>
      <c r="AF36" t="s">
        <v>29</v>
      </c>
    </row>
    <row r="37" spans="1:32">
      <c r="A37" s="32" t="s">
        <v>31</v>
      </c>
      <c r="B37" s="33" t="s">
        <v>35</v>
      </c>
      <c r="C37" s="32">
        <v>44913.423999999999</v>
      </c>
      <c r="D37" s="32">
        <v>4.0000000000000001E-3</v>
      </c>
      <c r="E37">
        <f t="shared" si="1"/>
        <v>890.00822329376069</v>
      </c>
      <c r="F37">
        <f t="shared" si="2"/>
        <v>890</v>
      </c>
      <c r="G37">
        <f t="shared" si="3"/>
        <v>3.4639999998034909E-2</v>
      </c>
      <c r="I37">
        <f t="shared" si="8"/>
        <v>3.4639999998034909E-2</v>
      </c>
      <c r="P37">
        <f t="shared" si="6"/>
        <v>3.4853702097620162E-2</v>
      </c>
      <c r="Q37" s="2">
        <f t="shared" si="5"/>
        <v>29894.923999999999</v>
      </c>
      <c r="R37">
        <f t="shared" si="7"/>
        <v>4.566858736714534E-8</v>
      </c>
    </row>
    <row r="38" spans="1:32" ht="12.75" customHeight="1">
      <c r="A38" s="28" t="s">
        <v>31</v>
      </c>
      <c r="B38" s="29" t="s">
        <v>33</v>
      </c>
      <c r="C38" s="30">
        <v>44915.525999999998</v>
      </c>
      <c r="D38" s="31"/>
      <c r="E38">
        <f t="shared" si="1"/>
        <v>890.50722339441506</v>
      </c>
      <c r="F38">
        <f t="shared" si="2"/>
        <v>890.5</v>
      </c>
      <c r="G38">
        <f t="shared" si="3"/>
        <v>3.0427999998209998E-2</v>
      </c>
      <c r="I38">
        <f t="shared" si="8"/>
        <v>3.0427999998209998E-2</v>
      </c>
      <c r="O38">
        <f t="shared" ref="O38:O53" ca="1" si="9">+C$11+C$12*F38</f>
        <v>-1.7071182229991724E-2</v>
      </c>
      <c r="P38">
        <f t="shared" si="6"/>
        <v>3.4876982791238742E-2</v>
      </c>
      <c r="Q38" s="2">
        <f t="shared" si="5"/>
        <v>29897.025999999998</v>
      </c>
      <c r="R38">
        <f t="shared" si="7"/>
        <v>1.9793447892665846E-5</v>
      </c>
      <c r="AB38" t="s">
        <v>30</v>
      </c>
      <c r="AF38" t="s">
        <v>32</v>
      </c>
    </row>
    <row r="39" spans="1:32" ht="12.75" customHeight="1">
      <c r="A39" t="s">
        <v>31</v>
      </c>
      <c r="B39" s="5"/>
      <c r="C39" s="11">
        <v>45528.46</v>
      </c>
      <c r="D39" s="10"/>
      <c r="E39">
        <f t="shared" si="1"/>
        <v>1036.0134687296427</v>
      </c>
      <c r="F39">
        <f t="shared" si="2"/>
        <v>1036</v>
      </c>
      <c r="G39">
        <f t="shared" si="3"/>
        <v>5.6735999998636544E-2</v>
      </c>
      <c r="I39">
        <f t="shared" si="8"/>
        <v>5.6735999998636544E-2</v>
      </c>
      <c r="O39">
        <f t="shared" ca="1" si="9"/>
        <v>-4.430337305796242E-3</v>
      </c>
      <c r="P39">
        <f t="shared" si="6"/>
        <v>4.1814653526539701E-2</v>
      </c>
      <c r="Q39" s="2">
        <f t="shared" si="5"/>
        <v>30509.96</v>
      </c>
      <c r="R39">
        <f t="shared" si="7"/>
        <v>2.226465805403569E-4</v>
      </c>
      <c r="AB39" t="s">
        <v>30</v>
      </c>
      <c r="AF39" t="s">
        <v>32</v>
      </c>
    </row>
    <row r="40" spans="1:32" ht="12.75" customHeight="1">
      <c r="A40" t="s">
        <v>31</v>
      </c>
      <c r="B40" s="5"/>
      <c r="C40" s="11">
        <v>45972.86</v>
      </c>
      <c r="D40" s="10"/>
      <c r="E40">
        <f t="shared" si="1"/>
        <v>1141.5109210278922</v>
      </c>
      <c r="F40">
        <f t="shared" si="2"/>
        <v>1141.5</v>
      </c>
      <c r="G40">
        <f t="shared" si="3"/>
        <v>4.6003999996173661E-2</v>
      </c>
      <c r="I40">
        <f t="shared" si="8"/>
        <v>4.6003999996173661E-2</v>
      </c>
      <c r="O40">
        <f t="shared" ca="1" si="9"/>
        <v>4.735361247486386E-3</v>
      </c>
      <c r="P40">
        <f t="shared" si="6"/>
        <v>4.7048234927388341E-2</v>
      </c>
      <c r="Q40" s="2">
        <f t="shared" si="5"/>
        <v>30954.36</v>
      </c>
      <c r="R40">
        <f t="shared" si="7"/>
        <v>1.090426591568927E-6</v>
      </c>
      <c r="AB40" t="s">
        <v>30</v>
      </c>
      <c r="AF40" t="s">
        <v>32</v>
      </c>
    </row>
    <row r="41" spans="1:32">
      <c r="A41" s="47" t="s">
        <v>109</v>
      </c>
      <c r="B41" s="48" t="s">
        <v>35</v>
      </c>
      <c r="C41" s="47">
        <v>47049.142</v>
      </c>
      <c r="D41" s="47" t="s">
        <v>58</v>
      </c>
      <c r="E41">
        <f t="shared" si="1"/>
        <v>1397.0127413574694</v>
      </c>
      <c r="F41">
        <f t="shared" si="2"/>
        <v>1397</v>
      </c>
      <c r="G41">
        <f t="shared" si="3"/>
        <v>5.3671999994548969E-2</v>
      </c>
      <c r="I41">
        <f t="shared" si="8"/>
        <v>5.3671999994548969E-2</v>
      </c>
      <c r="O41">
        <f t="shared" ca="1" si="9"/>
        <v>2.6932858691692207E-2</v>
      </c>
      <c r="P41">
        <f t="shared" si="6"/>
        <v>6.0430612772859785E-2</v>
      </c>
      <c r="Q41" s="2">
        <f t="shared" si="5"/>
        <v>32030.642</v>
      </c>
      <c r="R41">
        <f t="shared" si="7"/>
        <v>4.5678846687146242E-5</v>
      </c>
    </row>
    <row r="42" spans="1:32" ht="12.75" customHeight="1">
      <c r="A42" t="s">
        <v>31</v>
      </c>
      <c r="B42" s="5"/>
      <c r="C42" s="11">
        <v>47394.561999999998</v>
      </c>
      <c r="D42" s="10"/>
      <c r="E42">
        <f t="shared" si="1"/>
        <v>1479.0130338256536</v>
      </c>
      <c r="F42">
        <f t="shared" si="2"/>
        <v>1479</v>
      </c>
      <c r="G42">
        <f t="shared" si="3"/>
        <v>5.4903999996895436E-2</v>
      </c>
      <c r="I42">
        <f t="shared" si="8"/>
        <v>5.4903999996895436E-2</v>
      </c>
      <c r="O42">
        <f t="shared" ca="1" si="9"/>
        <v>3.4056908752063547E-2</v>
      </c>
      <c r="P42">
        <f t="shared" si="6"/>
        <v>6.4937883224685286E-2</v>
      </c>
      <c r="Q42" s="2">
        <f t="shared" si="5"/>
        <v>32376.061999999998</v>
      </c>
      <c r="R42">
        <f t="shared" si="7"/>
        <v>1.0067881262892246E-4</v>
      </c>
      <c r="AB42" t="s">
        <v>30</v>
      </c>
      <c r="AF42" t="s">
        <v>32</v>
      </c>
    </row>
    <row r="43" spans="1:32" ht="12.75" customHeight="1">
      <c r="A43" t="s">
        <v>31</v>
      </c>
      <c r="B43" s="5" t="s">
        <v>33</v>
      </c>
      <c r="C43" s="11">
        <v>47767.404999999999</v>
      </c>
      <c r="D43" s="10"/>
      <c r="E43">
        <f t="shared" si="1"/>
        <v>1567.523354724025</v>
      </c>
      <c r="F43">
        <f t="shared" si="2"/>
        <v>1567.5</v>
      </c>
      <c r="G43">
        <f t="shared" si="3"/>
        <v>9.8379999995813705E-2</v>
      </c>
      <c r="I43">
        <f t="shared" si="8"/>
        <v>9.8379999995813705E-2</v>
      </c>
      <c r="O43">
        <f t="shared" ca="1" si="9"/>
        <v>4.1745670097708215E-2</v>
      </c>
      <c r="P43">
        <f t="shared" si="6"/>
        <v>6.9918210983240525E-2</v>
      </c>
      <c r="Q43" s="2">
        <f t="shared" si="5"/>
        <v>32748.904999999999</v>
      </c>
      <c r="R43">
        <f t="shared" si="7"/>
        <v>8.1007343379623138E-4</v>
      </c>
      <c r="AB43" t="s">
        <v>30</v>
      </c>
      <c r="AF43" t="s">
        <v>32</v>
      </c>
    </row>
    <row r="44" spans="1:32" ht="12.75" customHeight="1">
      <c r="A44" t="s">
        <v>31</v>
      </c>
      <c r="B44" s="5"/>
      <c r="C44" s="11">
        <v>47773.678</v>
      </c>
      <c r="D44" s="10"/>
      <c r="E44">
        <f t="shared" si="1"/>
        <v>1569.0125210567589</v>
      </c>
      <c r="F44">
        <f t="shared" si="2"/>
        <v>1569</v>
      </c>
      <c r="G44">
        <f t="shared" si="3"/>
        <v>5.2744000000529923E-2</v>
      </c>
      <c r="I44">
        <f t="shared" si="8"/>
        <v>5.2744000000529923E-2</v>
      </c>
      <c r="O44">
        <f t="shared" ca="1" si="9"/>
        <v>4.1875988086617438E-2</v>
      </c>
      <c r="P44">
        <f t="shared" si="6"/>
        <v>7.0003659118181183E-2</v>
      </c>
      <c r="Q44" s="2">
        <f t="shared" si="5"/>
        <v>32755.178</v>
      </c>
      <c r="R44">
        <f t="shared" si="7"/>
        <v>2.9789583285752227E-4</v>
      </c>
      <c r="AB44" t="s">
        <v>30</v>
      </c>
      <c r="AF44" t="s">
        <v>32</v>
      </c>
    </row>
    <row r="45" spans="1:32" ht="12.75" customHeight="1">
      <c r="A45" t="s">
        <v>31</v>
      </c>
      <c r="B45" s="5" t="s">
        <v>33</v>
      </c>
      <c r="C45" s="11">
        <v>49519.78</v>
      </c>
      <c r="D45" s="10"/>
      <c r="E45">
        <f t="shared" si="1"/>
        <v>1983.5249253161589</v>
      </c>
      <c r="F45">
        <f t="shared" si="2"/>
        <v>1983.5</v>
      </c>
      <c r="G45">
        <f t="shared" si="3"/>
        <v>0.10499599999457132</v>
      </c>
      <c r="I45">
        <f t="shared" si="8"/>
        <v>0.10499599999457132</v>
      </c>
      <c r="O45">
        <f t="shared" ca="1" si="9"/>
        <v>7.7887192355201834E-2</v>
      </c>
      <c r="P45">
        <f t="shared" si="6"/>
        <v>9.493882762308789E-2</v>
      </c>
      <c r="Q45" s="2">
        <f t="shared" si="5"/>
        <v>34501.279999999999</v>
      </c>
      <c r="R45">
        <f t="shared" si="7"/>
        <v>1.0114671610972964E-4</v>
      </c>
      <c r="AB45" t="s">
        <v>30</v>
      </c>
      <c r="AF45" t="s">
        <v>32</v>
      </c>
    </row>
    <row r="46" spans="1:32" ht="12.75" customHeight="1">
      <c r="A46" t="s">
        <v>31</v>
      </c>
      <c r="B46" s="5" t="s">
        <v>33</v>
      </c>
      <c r="C46" s="11">
        <v>49540.83</v>
      </c>
      <c r="D46" s="10"/>
      <c r="E46">
        <f t="shared" si="1"/>
        <v>1988.5220481129152</v>
      </c>
      <c r="F46">
        <f t="shared" si="2"/>
        <v>1988.5</v>
      </c>
      <c r="G46">
        <f t="shared" si="3"/>
        <v>9.2875999995158054E-2</v>
      </c>
      <c r="I46">
        <f t="shared" si="8"/>
        <v>9.2875999995158054E-2</v>
      </c>
      <c r="O46">
        <f t="shared" ca="1" si="9"/>
        <v>7.8321585651565939E-2</v>
      </c>
      <c r="P46">
        <f t="shared" si="6"/>
        <v>9.5255706996655878E-2</v>
      </c>
      <c r="Q46" s="2">
        <f t="shared" si="5"/>
        <v>34522.33</v>
      </c>
      <c r="R46">
        <f t="shared" si="7"/>
        <v>5.6630054129777669E-6</v>
      </c>
      <c r="AB46" t="s">
        <v>30</v>
      </c>
      <c r="AF46" t="s">
        <v>32</v>
      </c>
    </row>
    <row r="47" spans="1:32">
      <c r="A47" s="47" t="s">
        <v>166</v>
      </c>
      <c r="B47" s="48" t="s">
        <v>35</v>
      </c>
      <c r="C47" s="47">
        <v>51413.27</v>
      </c>
      <c r="D47" s="47" t="s">
        <v>58</v>
      </c>
      <c r="E47">
        <f t="shared" si="1"/>
        <v>2433.0262100871123</v>
      </c>
      <c r="F47">
        <f t="shared" si="2"/>
        <v>2433</v>
      </c>
      <c r="G47">
        <f t="shared" si="3"/>
        <v>0.11040799999318551</v>
      </c>
      <c r="I47">
        <f t="shared" si="8"/>
        <v>0.11040799999318551</v>
      </c>
      <c r="O47">
        <f t="shared" ca="1" si="9"/>
        <v>0.11693914969833494</v>
      </c>
      <c r="P47">
        <f t="shared" si="6"/>
        <v>0.12495928848030849</v>
      </c>
      <c r="Q47" s="2">
        <f t="shared" si="5"/>
        <v>36394.769999999997</v>
      </c>
      <c r="R47">
        <f t="shared" si="7"/>
        <v>2.1173999663547769E-4</v>
      </c>
    </row>
    <row r="48" spans="1:32" ht="12.75" customHeight="1">
      <c r="A48" t="s">
        <v>34</v>
      </c>
      <c r="B48" s="5" t="s">
        <v>35</v>
      </c>
      <c r="C48" s="10">
        <v>51413.275000000001</v>
      </c>
      <c r="D48" s="10">
        <v>8.0000000000000002E-3</v>
      </c>
      <c r="E48">
        <f t="shared" si="1"/>
        <v>2433.027397052148</v>
      </c>
      <c r="F48">
        <f t="shared" si="2"/>
        <v>2433</v>
      </c>
      <c r="G48">
        <f t="shared" si="3"/>
        <v>0.11540799999784213</v>
      </c>
      <c r="J48">
        <f>+G48</f>
        <v>0.11540799999784213</v>
      </c>
      <c r="O48">
        <f t="shared" ca="1" si="9"/>
        <v>0.11693914969833494</v>
      </c>
      <c r="P48">
        <f t="shared" si="6"/>
        <v>0.12495928848030849</v>
      </c>
      <c r="Q48" s="2">
        <f t="shared" si="5"/>
        <v>36394.775000000001</v>
      </c>
      <c r="R48">
        <f t="shared" si="7"/>
        <v>9.1227111675294608E-5</v>
      </c>
    </row>
    <row r="49" spans="1:18">
      <c r="A49" s="47" t="s">
        <v>166</v>
      </c>
      <c r="B49" s="48" t="s">
        <v>35</v>
      </c>
      <c r="C49" s="47">
        <v>51413.279999999999</v>
      </c>
      <c r="D49" s="47" t="s">
        <v>58</v>
      </c>
      <c r="E49">
        <f t="shared" si="1"/>
        <v>2433.0285840171823</v>
      </c>
      <c r="F49">
        <f t="shared" si="2"/>
        <v>2433</v>
      </c>
      <c r="G49">
        <f t="shared" si="3"/>
        <v>0.12040799999522278</v>
      </c>
      <c r="I49">
        <f>+G49</f>
        <v>0.12040799999522278</v>
      </c>
      <c r="O49">
        <f t="shared" ca="1" si="9"/>
        <v>0.11693914969833494</v>
      </c>
      <c r="P49">
        <f t="shared" si="6"/>
        <v>0.12495928848030849</v>
      </c>
      <c r="Q49" s="2">
        <f t="shared" si="5"/>
        <v>36394.78</v>
      </c>
      <c r="R49">
        <f t="shared" si="7"/>
        <v>2.0714226874473762E-5</v>
      </c>
    </row>
    <row r="50" spans="1:18">
      <c r="A50" s="47" t="s">
        <v>176</v>
      </c>
      <c r="B50" s="48" t="s">
        <v>35</v>
      </c>
      <c r="C50" s="47">
        <v>54707.449399999998</v>
      </c>
      <c r="D50" s="47" t="s">
        <v>58</v>
      </c>
      <c r="E50">
        <f t="shared" si="1"/>
        <v>3215.0413633575336</v>
      </c>
      <c r="F50">
        <f t="shared" si="2"/>
        <v>3215</v>
      </c>
      <c r="G50">
        <f t="shared" si="3"/>
        <v>0.17423999999300577</v>
      </c>
      <c r="K50">
        <f>+G50</f>
        <v>0.17423999999300577</v>
      </c>
      <c r="O50">
        <f t="shared" ca="1" si="9"/>
        <v>0.1848782612496811</v>
      </c>
      <c r="P50">
        <f t="shared" si="6"/>
        <v>0.18457516836544302</v>
      </c>
      <c r="Q50" s="2">
        <f t="shared" si="5"/>
        <v>39688.949399999998</v>
      </c>
      <c r="R50">
        <f t="shared" si="7"/>
        <v>1.068157052866273E-4</v>
      </c>
    </row>
    <row r="51" spans="1:18">
      <c r="A51" s="47" t="s">
        <v>176</v>
      </c>
      <c r="B51" s="48" t="s">
        <v>33</v>
      </c>
      <c r="C51" s="47">
        <v>54709.562899999997</v>
      </c>
      <c r="D51" s="47" t="s">
        <v>58</v>
      </c>
      <c r="E51">
        <f t="shared" si="1"/>
        <v>3215.5430934777683</v>
      </c>
      <c r="F51">
        <f t="shared" si="2"/>
        <v>3215.5</v>
      </c>
      <c r="G51">
        <f t="shared" si="3"/>
        <v>0.18152799999370473</v>
      </c>
      <c r="K51">
        <f>+G51</f>
        <v>0.18152799999370473</v>
      </c>
      <c r="O51">
        <f t="shared" ca="1" si="9"/>
        <v>0.18492170057931751</v>
      </c>
      <c r="P51">
        <f t="shared" si="6"/>
        <v>0.18461628783769851</v>
      </c>
      <c r="Q51" s="2">
        <f t="shared" si="5"/>
        <v>39691.062899999997</v>
      </c>
      <c r="R51">
        <f t="shared" si="7"/>
        <v>9.5375218073597914E-6</v>
      </c>
    </row>
    <row r="52" spans="1:18">
      <c r="A52" s="47" t="s">
        <v>186</v>
      </c>
      <c r="B52" s="48" t="s">
        <v>33</v>
      </c>
      <c r="C52" s="47">
        <v>55084.510399999999</v>
      </c>
      <c r="D52" s="47" t="s">
        <v>58</v>
      </c>
      <c r="E52">
        <f t="shared" si="1"/>
        <v>3304.5530079593118</v>
      </c>
      <c r="F52">
        <f t="shared" si="2"/>
        <v>3304.5</v>
      </c>
      <c r="G52">
        <f t="shared" si="3"/>
        <v>0.22329199999512639</v>
      </c>
      <c r="K52">
        <f>+G52</f>
        <v>0.22329199999512639</v>
      </c>
      <c r="O52">
        <f t="shared" ca="1" si="9"/>
        <v>0.19265390125459858</v>
      </c>
      <c r="P52">
        <f t="shared" si="6"/>
        <v>0.19199666993840964</v>
      </c>
      <c r="Q52" s="2">
        <f t="shared" si="5"/>
        <v>40066.010399999999</v>
      </c>
      <c r="R52">
        <f t="shared" si="7"/>
        <v>9.7939768335883904E-4</v>
      </c>
    </row>
    <row r="53" spans="1:18">
      <c r="A53" s="61" t="s">
        <v>46</v>
      </c>
      <c r="B53" s="29" t="s">
        <v>35</v>
      </c>
      <c r="C53" s="31">
        <v>55836.410900000003</v>
      </c>
      <c r="D53" s="31">
        <v>3.3999999999999998E-3</v>
      </c>
      <c r="E53">
        <f t="shared" si="1"/>
        <v>3483.0489285978806</v>
      </c>
      <c r="F53">
        <f t="shared" si="2"/>
        <v>3483</v>
      </c>
      <c r="G53">
        <f t="shared" si="3"/>
        <v>0.20610799999849405</v>
      </c>
      <c r="J53">
        <f>+G53</f>
        <v>0.20610799999849405</v>
      </c>
      <c r="O53">
        <f t="shared" ca="1" si="9"/>
        <v>0.2081617419347972</v>
      </c>
      <c r="P53">
        <f t="shared" si="6"/>
        <v>0.20716525368382138</v>
      </c>
      <c r="Q53" s="2">
        <f t="shared" si="5"/>
        <v>40817.910900000003</v>
      </c>
      <c r="R53">
        <f t="shared" si="7"/>
        <v>1.1177853551382223E-6</v>
      </c>
    </row>
    <row r="54" spans="1:18">
      <c r="A54" s="62" t="s">
        <v>0</v>
      </c>
      <c r="B54" s="62" t="s">
        <v>35</v>
      </c>
      <c r="C54" s="63">
        <v>57959.502999999997</v>
      </c>
      <c r="D54" s="63">
        <v>0.01</v>
      </c>
      <c r="E54">
        <f>+(C54-C$7)/C$8</f>
        <v>3987.0561462948631</v>
      </c>
      <c r="F54">
        <f t="shared" si="2"/>
        <v>3987</v>
      </c>
      <c r="G54">
        <f>+C54-(C$7+F54*C$8)</f>
        <v>0.23651199998857919</v>
      </c>
      <c r="K54">
        <f>+G54</f>
        <v>0.23651199998857919</v>
      </c>
      <c r="O54">
        <f ca="1">+C$11+C$12*F54</f>
        <v>0.25194858620829907</v>
      </c>
      <c r="P54">
        <f>+D$11+D$12*F54+D$13*F54^2</f>
        <v>0.25263341455090982</v>
      </c>
      <c r="Q54" s="2">
        <f>+C54-15018.5</f>
        <v>42941.002999999997</v>
      </c>
      <c r="R54">
        <f>(P54-G54)^2</f>
        <v>2.5990000749052602E-4</v>
      </c>
    </row>
    <row r="55" spans="1:18">
      <c r="A55" s="64" t="s">
        <v>195</v>
      </c>
      <c r="B55" s="65" t="s">
        <v>35</v>
      </c>
      <c r="C55" s="66">
        <v>59425.477700000003</v>
      </c>
      <c r="D55" s="64">
        <v>3.0999999999999999E-3</v>
      </c>
      <c r="E55">
        <f>+(C55-C$7)/C$8</f>
        <v>4335.0682884723856</v>
      </c>
      <c r="F55">
        <f t="shared" ref="F55" si="10">ROUND(2*E55,0)/2</f>
        <v>4335</v>
      </c>
      <c r="G55">
        <f>+C55-(C$7+F55*C$8)</f>
        <v>0.28766000000177883</v>
      </c>
      <c r="K55">
        <f>+G55</f>
        <v>0.28766000000177883</v>
      </c>
      <c r="O55">
        <f ca="1">+C$11+C$12*F55</f>
        <v>0.28218235963524085</v>
      </c>
      <c r="P55">
        <f>+D$11+D$12*F55+D$13*F55^2</f>
        <v>0.28630299017726574</v>
      </c>
      <c r="Q55" s="2">
        <f>+C55-15018.5</f>
        <v>44406.977700000003</v>
      </c>
      <c r="R55">
        <f>(P55-G55)^2</f>
        <v>1.8414756638250448E-6</v>
      </c>
    </row>
    <row r="56" spans="1:18">
      <c r="B56" s="5"/>
      <c r="C56" s="10"/>
      <c r="D56" s="10"/>
    </row>
    <row r="57" spans="1:18">
      <c r="B57" s="5"/>
      <c r="C57" s="10"/>
      <c r="D57" s="10"/>
    </row>
    <row r="58" spans="1:18">
      <c r="B58" s="5"/>
      <c r="C58" s="10"/>
      <c r="D58" s="10"/>
    </row>
    <row r="59" spans="1:18">
      <c r="B59" s="5"/>
      <c r="C59" s="10"/>
      <c r="D59" s="10"/>
    </row>
    <row r="60" spans="1:18">
      <c r="B60" s="5"/>
      <c r="C60" s="10"/>
      <c r="D60" s="10"/>
    </row>
    <row r="61" spans="1:18">
      <c r="B61" s="5"/>
      <c r="C61" s="10"/>
      <c r="D61" s="10"/>
    </row>
    <row r="62" spans="1:18">
      <c r="C62" s="10"/>
      <c r="D62" s="10"/>
    </row>
    <row r="63" spans="1:18">
      <c r="C63" s="10"/>
      <c r="D63" s="10"/>
    </row>
    <row r="64" spans="1:18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</sheetData>
  <phoneticPr fontId="7" type="noConversion"/>
  <hyperlinks>
    <hyperlink ref="H64668" r:id="rId1" display="http://vsolj.cetus-net.org/bulletin.html" xr:uid="{00000000-0004-0000-0000-000000000000}"/>
    <hyperlink ref="H64661" r:id="rId2" display="https://www.aavso.org/ejaavso" xr:uid="{00000000-0004-0000-0000-000001000000}"/>
    <hyperlink ref="AP812" r:id="rId3" display="http://cdsbib.u-strasbg.fr/cgi-bin/cdsbib?1990RMxAA..21..381G" xr:uid="{00000000-0004-0000-0000-000002000000}"/>
    <hyperlink ref="AP816" r:id="rId4" display="http://cdsbib.u-strasbg.fr/cgi-bin/cdsbib?1990RMxAA..21..381G" xr:uid="{00000000-0004-0000-0000-000003000000}"/>
    <hyperlink ref="AP815" r:id="rId5" display="http://cdsbib.u-strasbg.fr/cgi-bin/cdsbib?1990RMxAA..21..381G" xr:uid="{00000000-0004-0000-0000-000004000000}"/>
    <hyperlink ref="AP796" r:id="rId6" display="http://cdsbib.u-strasbg.fr/cgi-bin/cdsbib?1990RMxAA..21..381G" xr:uid="{00000000-0004-0000-0000-000005000000}"/>
    <hyperlink ref="I64668" r:id="rId7" display="http://vsolj.cetus-net.org/bulletin.html" xr:uid="{00000000-0004-0000-0000-000006000000}"/>
    <hyperlink ref="AQ952" r:id="rId8" display="http://cdsbib.u-strasbg.fr/cgi-bin/cdsbib?1990RMxAA..21..381G" xr:uid="{00000000-0004-0000-0000-000007000000}"/>
    <hyperlink ref="AQ55718" r:id="rId9" display="http://cdsbib.u-strasbg.fr/cgi-bin/cdsbib?1990RMxAA..21..381G" xr:uid="{00000000-0004-0000-0000-000008000000}"/>
    <hyperlink ref="AQ953" r:id="rId10" display="http://cdsbib.u-strasbg.fr/cgi-bin/cdsbib?1990RMxAA..21..381G" xr:uid="{00000000-0004-0000-0000-000009000000}"/>
    <hyperlink ref="H64665" r:id="rId11" display="https://www.aavso.org/ejaavso" xr:uid="{00000000-0004-0000-0000-00000A000000}"/>
    <hyperlink ref="H1838" r:id="rId12" display="http://vsolj.cetus-net.org/bulletin.html" xr:uid="{00000000-0004-0000-0000-00000B000000}"/>
    <hyperlink ref="AP3082" r:id="rId13" display="http://cdsbib.u-strasbg.fr/cgi-bin/cdsbib?1990RMxAA..21..381G" xr:uid="{00000000-0004-0000-0000-00000C000000}"/>
    <hyperlink ref="AP3085" r:id="rId14" display="http://cdsbib.u-strasbg.fr/cgi-bin/cdsbib?1990RMxAA..21..381G" xr:uid="{00000000-0004-0000-0000-00000D000000}"/>
    <hyperlink ref="AP3083" r:id="rId15" display="http://cdsbib.u-strasbg.fr/cgi-bin/cdsbib?1990RMxAA..21..381G" xr:uid="{00000000-0004-0000-0000-00000E000000}"/>
    <hyperlink ref="AP3067" r:id="rId16" display="http://cdsbib.u-strasbg.fr/cgi-bin/cdsbib?1990RMxAA..21..381G" xr:uid="{00000000-0004-0000-0000-00000F000000}"/>
    <hyperlink ref="I1838" r:id="rId17" display="http://vsolj.cetus-net.org/bulletin.html" xr:uid="{00000000-0004-0000-0000-000010000000}"/>
    <hyperlink ref="AQ3296" r:id="rId18" display="http://cdsbib.u-strasbg.fr/cgi-bin/cdsbib?1990RMxAA..21..381G" xr:uid="{00000000-0004-0000-0000-000011000000}"/>
    <hyperlink ref="AQ65533" r:id="rId19" display="http://cdsbib.u-strasbg.fr/cgi-bin/cdsbib?1990RMxAA..21..381G" xr:uid="{00000000-0004-0000-0000-000012000000}"/>
    <hyperlink ref="AQ3300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81"/>
  <sheetViews>
    <sheetView workbookViewId="0">
      <selection activeCell="A22" sqref="A22:D41"/>
    </sheetView>
  </sheetViews>
  <sheetFormatPr defaultRowHeight="12.75"/>
  <cols>
    <col min="1" max="1" width="19.7109375" style="10" customWidth="1"/>
    <col min="2" max="2" width="4.42578125" style="13" customWidth="1"/>
    <col min="3" max="3" width="12.7109375" style="10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0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34" t="s">
        <v>48</v>
      </c>
      <c r="I1" s="35" t="s">
        <v>49</v>
      </c>
      <c r="J1" s="36" t="s">
        <v>50</v>
      </c>
    </row>
    <row r="2" spans="1:16">
      <c r="I2" s="37" t="s">
        <v>51</v>
      </c>
      <c r="J2" s="38" t="s">
        <v>52</v>
      </c>
    </row>
    <row r="3" spans="1:16">
      <c r="A3" s="39" t="s">
        <v>53</v>
      </c>
      <c r="I3" s="37" t="s">
        <v>54</v>
      </c>
      <c r="J3" s="38" t="s">
        <v>55</v>
      </c>
    </row>
    <row r="4" spans="1:16">
      <c r="I4" s="37" t="s">
        <v>56</v>
      </c>
      <c r="J4" s="38" t="s">
        <v>55</v>
      </c>
    </row>
    <row r="5" spans="1:16" ht="13.5" thickBot="1">
      <c r="I5" s="40" t="s">
        <v>57</v>
      </c>
      <c r="J5" s="41" t="s">
        <v>58</v>
      </c>
    </row>
    <row r="10" spans="1:16" ht="13.5" thickBot="1"/>
    <row r="11" spans="1:16" ht="12.75" customHeight="1" thickBot="1">
      <c r="A11" s="10" t="str">
        <f t="shared" ref="A11:A41" si="0">P11</f>
        <v> PASP 102.750 </v>
      </c>
      <c r="B11" s="5" t="str">
        <f t="shared" ref="B11:B41" si="1">IF(H11=INT(H11),"I","II")</f>
        <v>I</v>
      </c>
      <c r="C11" s="10">
        <f t="shared" ref="C11:C41" si="2">1*G11</f>
        <v>41164.332000000002</v>
      </c>
      <c r="D11" s="13" t="str">
        <f t="shared" ref="D11:D41" si="3">VLOOKUP(F11,I$1:J$5,2,FALSE)</f>
        <v>vis</v>
      </c>
      <c r="E11" s="42">
        <f>VLOOKUP(C11,Active!C$21:E$973,3,FALSE)</f>
        <v>0</v>
      </c>
      <c r="F11" s="5" t="s">
        <v>57</v>
      </c>
      <c r="G11" s="13" t="str">
        <f t="shared" ref="G11:G41" si="4">MID(I11,3,LEN(I11)-3)</f>
        <v>41164.332</v>
      </c>
      <c r="H11" s="10">
        <f t="shared" ref="H11:H41" si="5">1*K11</f>
        <v>0</v>
      </c>
      <c r="I11" s="43" t="s">
        <v>115</v>
      </c>
      <c r="J11" s="44" t="s">
        <v>116</v>
      </c>
      <c r="K11" s="43">
        <v>0</v>
      </c>
      <c r="L11" s="43" t="s">
        <v>117</v>
      </c>
      <c r="M11" s="44" t="s">
        <v>63</v>
      </c>
      <c r="N11" s="44" t="s">
        <v>64</v>
      </c>
      <c r="O11" s="45" t="s">
        <v>108</v>
      </c>
      <c r="P11" s="45" t="s">
        <v>109</v>
      </c>
    </row>
    <row r="12" spans="1:16" ht="12.75" customHeight="1" thickBot="1">
      <c r="A12" s="10" t="str">
        <f t="shared" si="0"/>
        <v> BBS 44 </v>
      </c>
      <c r="B12" s="5" t="str">
        <f t="shared" si="1"/>
        <v>I</v>
      </c>
      <c r="C12" s="10">
        <f t="shared" si="2"/>
        <v>44083.544999999998</v>
      </c>
      <c r="D12" s="13" t="str">
        <f t="shared" si="3"/>
        <v>vis</v>
      </c>
      <c r="E12" s="42">
        <f>VLOOKUP(C12,Active!C$21:E$973,3,FALSE)</f>
        <v>693.00075206104509</v>
      </c>
      <c r="F12" s="5" t="s">
        <v>57</v>
      </c>
      <c r="G12" s="13" t="str">
        <f t="shared" si="4"/>
        <v>44083.545</v>
      </c>
      <c r="H12" s="10">
        <f t="shared" si="5"/>
        <v>693</v>
      </c>
      <c r="I12" s="43" t="s">
        <v>121</v>
      </c>
      <c r="J12" s="44" t="s">
        <v>122</v>
      </c>
      <c r="K12" s="43">
        <v>693</v>
      </c>
      <c r="L12" s="43" t="s">
        <v>123</v>
      </c>
      <c r="M12" s="44" t="s">
        <v>63</v>
      </c>
      <c r="N12" s="44" t="s">
        <v>64</v>
      </c>
      <c r="O12" s="45" t="s">
        <v>124</v>
      </c>
      <c r="P12" s="45" t="s">
        <v>125</v>
      </c>
    </row>
    <row r="13" spans="1:16" ht="12.75" customHeight="1" thickBot="1">
      <c r="A13" s="10" t="str">
        <f t="shared" si="0"/>
        <v>IBVS 4061 </v>
      </c>
      <c r="B13" s="5" t="str">
        <f t="shared" si="1"/>
        <v>I</v>
      </c>
      <c r="C13" s="10">
        <f t="shared" si="2"/>
        <v>44913.423999999999</v>
      </c>
      <c r="D13" s="13" t="str">
        <f t="shared" si="3"/>
        <v>vis</v>
      </c>
      <c r="E13" s="42">
        <f>VLOOKUP(C13,Active!C$21:E$973,3,FALSE)</f>
        <v>890.00822329376069</v>
      </c>
      <c r="F13" s="5" t="s">
        <v>57</v>
      </c>
      <c r="G13" s="13" t="str">
        <f t="shared" si="4"/>
        <v>44913.424</v>
      </c>
      <c r="H13" s="10">
        <f t="shared" si="5"/>
        <v>890</v>
      </c>
      <c r="I13" s="43" t="s">
        <v>126</v>
      </c>
      <c r="J13" s="44" t="s">
        <v>127</v>
      </c>
      <c r="K13" s="43">
        <v>890</v>
      </c>
      <c r="L13" s="43" t="s">
        <v>128</v>
      </c>
      <c r="M13" s="44" t="s">
        <v>63</v>
      </c>
      <c r="N13" s="44" t="s">
        <v>64</v>
      </c>
      <c r="O13" s="45" t="s">
        <v>129</v>
      </c>
      <c r="P13" s="46" t="s">
        <v>130</v>
      </c>
    </row>
    <row r="14" spans="1:16" ht="12.75" customHeight="1" thickBot="1">
      <c r="A14" s="10" t="str">
        <f t="shared" si="0"/>
        <v> PASP 102.750 </v>
      </c>
      <c r="B14" s="5" t="str">
        <f t="shared" si="1"/>
        <v>I</v>
      </c>
      <c r="C14" s="10">
        <f t="shared" si="2"/>
        <v>45528.46</v>
      </c>
      <c r="D14" s="13" t="str">
        <f t="shared" si="3"/>
        <v>vis</v>
      </c>
      <c r="E14" s="42">
        <f>VLOOKUP(C14,Active!C$21:E$973,3,FALSE)</f>
        <v>1036.0134687296427</v>
      </c>
      <c r="F14" s="5" t="s">
        <v>57</v>
      </c>
      <c r="G14" s="13" t="str">
        <f t="shared" si="4"/>
        <v>45528.460</v>
      </c>
      <c r="H14" s="10">
        <f t="shared" si="5"/>
        <v>1036</v>
      </c>
      <c r="I14" s="43" t="s">
        <v>131</v>
      </c>
      <c r="J14" s="44" t="s">
        <v>132</v>
      </c>
      <c r="K14" s="43">
        <v>1036</v>
      </c>
      <c r="L14" s="43" t="s">
        <v>133</v>
      </c>
      <c r="M14" s="44" t="s">
        <v>63</v>
      </c>
      <c r="N14" s="44" t="s">
        <v>64</v>
      </c>
      <c r="O14" s="45" t="s">
        <v>134</v>
      </c>
      <c r="P14" s="45" t="s">
        <v>109</v>
      </c>
    </row>
    <row r="15" spans="1:16" ht="12.75" customHeight="1" thickBot="1">
      <c r="A15" s="10" t="str">
        <f t="shared" si="0"/>
        <v>IBVS 4061 </v>
      </c>
      <c r="B15" s="5" t="str">
        <f t="shared" si="1"/>
        <v>II</v>
      </c>
      <c r="C15" s="10">
        <f t="shared" si="2"/>
        <v>45972.86</v>
      </c>
      <c r="D15" s="13" t="str">
        <f t="shared" si="3"/>
        <v>vis</v>
      </c>
      <c r="E15" s="42">
        <f>VLOOKUP(C15,Active!C$21:E$973,3,FALSE)</f>
        <v>1141.5109210278922</v>
      </c>
      <c r="F15" s="5" t="s">
        <v>57</v>
      </c>
      <c r="G15" s="13" t="str">
        <f t="shared" si="4"/>
        <v>45972.860</v>
      </c>
      <c r="H15" s="10">
        <f t="shared" si="5"/>
        <v>1141.5</v>
      </c>
      <c r="I15" s="43" t="s">
        <v>135</v>
      </c>
      <c r="J15" s="44" t="s">
        <v>136</v>
      </c>
      <c r="K15" s="43">
        <v>1141.5</v>
      </c>
      <c r="L15" s="43" t="s">
        <v>137</v>
      </c>
      <c r="M15" s="44" t="s">
        <v>63</v>
      </c>
      <c r="N15" s="44" t="s">
        <v>64</v>
      </c>
      <c r="O15" s="45" t="s">
        <v>138</v>
      </c>
      <c r="P15" s="46" t="s">
        <v>130</v>
      </c>
    </row>
    <row r="16" spans="1:16" ht="12.75" customHeight="1" thickBot="1">
      <c r="A16" s="10" t="str">
        <f t="shared" si="0"/>
        <v> PASP 102.750 </v>
      </c>
      <c r="B16" s="5" t="str">
        <f t="shared" si="1"/>
        <v>I</v>
      </c>
      <c r="C16" s="10">
        <f t="shared" si="2"/>
        <v>47394.561999999998</v>
      </c>
      <c r="D16" s="13" t="str">
        <f t="shared" si="3"/>
        <v>vis</v>
      </c>
      <c r="E16" s="42">
        <f>VLOOKUP(C16,Active!C$21:E$973,3,FALSE)</f>
        <v>1479.0130338256536</v>
      </c>
      <c r="F16" s="5" t="s">
        <v>57</v>
      </c>
      <c r="G16" s="13" t="str">
        <f t="shared" si="4"/>
        <v>47394.562</v>
      </c>
      <c r="H16" s="10">
        <f t="shared" si="5"/>
        <v>1479</v>
      </c>
      <c r="I16" s="43" t="s">
        <v>144</v>
      </c>
      <c r="J16" s="44" t="s">
        <v>145</v>
      </c>
      <c r="K16" s="43">
        <v>1479</v>
      </c>
      <c r="L16" s="43" t="s">
        <v>146</v>
      </c>
      <c r="M16" s="44" t="s">
        <v>63</v>
      </c>
      <c r="N16" s="44" t="s">
        <v>64</v>
      </c>
      <c r="O16" s="45" t="s">
        <v>147</v>
      </c>
      <c r="P16" s="45" t="s">
        <v>109</v>
      </c>
    </row>
    <row r="17" spans="1:16" ht="12.75" customHeight="1" thickBot="1">
      <c r="A17" s="10" t="str">
        <f t="shared" si="0"/>
        <v> APJ 410.342 </v>
      </c>
      <c r="B17" s="5" t="str">
        <f t="shared" si="1"/>
        <v>II</v>
      </c>
      <c r="C17" s="10">
        <f t="shared" si="2"/>
        <v>47767.404999999999</v>
      </c>
      <c r="D17" s="13" t="str">
        <f t="shared" si="3"/>
        <v>vis</v>
      </c>
      <c r="E17" s="42">
        <f>VLOOKUP(C17,Active!C$21:E$973,3,FALSE)</f>
        <v>1567.523354724025</v>
      </c>
      <c r="F17" s="5" t="s">
        <v>57</v>
      </c>
      <c r="G17" s="13" t="str">
        <f t="shared" si="4"/>
        <v>47767.405</v>
      </c>
      <c r="H17" s="10">
        <f t="shared" si="5"/>
        <v>1567.5</v>
      </c>
      <c r="I17" s="43" t="s">
        <v>148</v>
      </c>
      <c r="J17" s="44" t="s">
        <v>149</v>
      </c>
      <c r="K17" s="43">
        <v>1567.5</v>
      </c>
      <c r="L17" s="43" t="s">
        <v>150</v>
      </c>
      <c r="M17" s="44" t="s">
        <v>63</v>
      </c>
      <c r="N17" s="44" t="s">
        <v>64</v>
      </c>
      <c r="O17" s="45" t="s">
        <v>151</v>
      </c>
      <c r="P17" s="45" t="s">
        <v>152</v>
      </c>
    </row>
    <row r="18" spans="1:16" ht="12.75" customHeight="1" thickBot="1">
      <c r="A18" s="10" t="str">
        <f t="shared" si="0"/>
        <v> PASP 102.750 </v>
      </c>
      <c r="B18" s="5" t="str">
        <f t="shared" si="1"/>
        <v>I</v>
      </c>
      <c r="C18" s="10">
        <f t="shared" si="2"/>
        <v>47773.678</v>
      </c>
      <c r="D18" s="13" t="str">
        <f t="shared" si="3"/>
        <v>vis</v>
      </c>
      <c r="E18" s="42">
        <f>VLOOKUP(C18,Active!C$21:E$973,3,FALSE)</f>
        <v>1569.0125210567589</v>
      </c>
      <c r="F18" s="5" t="s">
        <v>57</v>
      </c>
      <c r="G18" s="13" t="str">
        <f t="shared" si="4"/>
        <v>47773.678</v>
      </c>
      <c r="H18" s="10">
        <f t="shared" si="5"/>
        <v>1569</v>
      </c>
      <c r="I18" s="43" t="s">
        <v>153</v>
      </c>
      <c r="J18" s="44" t="s">
        <v>154</v>
      </c>
      <c r="K18" s="43">
        <v>1569</v>
      </c>
      <c r="L18" s="43" t="s">
        <v>155</v>
      </c>
      <c r="M18" s="44" t="s">
        <v>63</v>
      </c>
      <c r="N18" s="44" t="s">
        <v>64</v>
      </c>
      <c r="O18" s="45" t="s">
        <v>147</v>
      </c>
      <c r="P18" s="45" t="s">
        <v>109</v>
      </c>
    </row>
    <row r="19" spans="1:16" ht="12.75" customHeight="1" thickBot="1">
      <c r="A19" s="10" t="str">
        <f t="shared" si="0"/>
        <v>IBVS 4061 </v>
      </c>
      <c r="B19" s="5" t="str">
        <f t="shared" si="1"/>
        <v>II</v>
      </c>
      <c r="C19" s="10">
        <f t="shared" si="2"/>
        <v>49519.78</v>
      </c>
      <c r="D19" s="13" t="str">
        <f t="shared" si="3"/>
        <v>vis</v>
      </c>
      <c r="E19" s="42">
        <f>VLOOKUP(C19,Active!C$21:E$973,3,FALSE)</f>
        <v>1983.5249253161589</v>
      </c>
      <c r="F19" s="5" t="s">
        <v>57</v>
      </c>
      <c r="G19" s="13" t="str">
        <f t="shared" si="4"/>
        <v>49519.78</v>
      </c>
      <c r="H19" s="10">
        <f t="shared" si="5"/>
        <v>1983.5</v>
      </c>
      <c r="I19" s="43" t="s">
        <v>156</v>
      </c>
      <c r="J19" s="44" t="s">
        <v>157</v>
      </c>
      <c r="K19" s="43">
        <v>1983.5</v>
      </c>
      <c r="L19" s="43" t="s">
        <v>158</v>
      </c>
      <c r="M19" s="44" t="s">
        <v>63</v>
      </c>
      <c r="N19" s="44" t="s">
        <v>64</v>
      </c>
      <c r="O19" s="45" t="s">
        <v>138</v>
      </c>
      <c r="P19" s="46" t="s">
        <v>130</v>
      </c>
    </row>
    <row r="20" spans="1:16" ht="12.75" customHeight="1" thickBot="1">
      <c r="A20" s="10" t="str">
        <f t="shared" si="0"/>
        <v>IBVS 4061 </v>
      </c>
      <c r="B20" s="5" t="str">
        <f t="shared" si="1"/>
        <v>II</v>
      </c>
      <c r="C20" s="10">
        <f t="shared" si="2"/>
        <v>49540.83</v>
      </c>
      <c r="D20" s="13" t="str">
        <f t="shared" si="3"/>
        <v>vis</v>
      </c>
      <c r="E20" s="42">
        <f>VLOOKUP(C20,Active!C$21:E$973,3,FALSE)</f>
        <v>1988.5220481129152</v>
      </c>
      <c r="F20" s="5" t="s">
        <v>57</v>
      </c>
      <c r="G20" s="13" t="str">
        <f t="shared" si="4"/>
        <v>49540.830</v>
      </c>
      <c r="H20" s="10">
        <f t="shared" si="5"/>
        <v>1988.5</v>
      </c>
      <c r="I20" s="43" t="s">
        <v>159</v>
      </c>
      <c r="J20" s="44" t="s">
        <v>160</v>
      </c>
      <c r="K20" s="43">
        <v>1988.5</v>
      </c>
      <c r="L20" s="43" t="s">
        <v>161</v>
      </c>
      <c r="M20" s="44" t="s">
        <v>63</v>
      </c>
      <c r="N20" s="44" t="s">
        <v>64</v>
      </c>
      <c r="O20" s="45" t="s">
        <v>138</v>
      </c>
      <c r="P20" s="46" t="s">
        <v>130</v>
      </c>
    </row>
    <row r="21" spans="1:16" ht="12.75" customHeight="1" thickBot="1">
      <c r="A21" s="10" t="str">
        <f t="shared" si="0"/>
        <v>BAVM 228 </v>
      </c>
      <c r="B21" s="5" t="str">
        <f t="shared" si="1"/>
        <v>I</v>
      </c>
      <c r="C21" s="10">
        <f t="shared" si="2"/>
        <v>55836.410900000003</v>
      </c>
      <c r="D21" s="13" t="str">
        <f t="shared" si="3"/>
        <v>vis</v>
      </c>
      <c r="E21" s="42">
        <f>VLOOKUP(C21,Active!C$21:E$973,3,FALSE)</f>
        <v>3483.0489285978806</v>
      </c>
      <c r="F21" s="5" t="s">
        <v>57</v>
      </c>
      <c r="G21" s="13" t="str">
        <f t="shared" si="4"/>
        <v>55836.4109</v>
      </c>
      <c r="H21" s="10">
        <f t="shared" si="5"/>
        <v>3483</v>
      </c>
      <c r="I21" s="43" t="s">
        <v>187</v>
      </c>
      <c r="J21" s="44" t="s">
        <v>188</v>
      </c>
      <c r="K21" s="43" t="s">
        <v>189</v>
      </c>
      <c r="L21" s="43" t="s">
        <v>190</v>
      </c>
      <c r="M21" s="44" t="s">
        <v>174</v>
      </c>
      <c r="N21" s="44" t="s">
        <v>191</v>
      </c>
      <c r="O21" s="45" t="s">
        <v>181</v>
      </c>
      <c r="P21" s="46" t="s">
        <v>192</v>
      </c>
    </row>
    <row r="22" spans="1:16" ht="12.75" customHeight="1" thickBot="1">
      <c r="A22" s="10" t="str">
        <f t="shared" si="0"/>
        <v> APJ 111.454 </v>
      </c>
      <c r="B22" s="5" t="str">
        <f t="shared" si="1"/>
        <v>I</v>
      </c>
      <c r="C22" s="10">
        <f t="shared" si="2"/>
        <v>29879.23</v>
      </c>
      <c r="D22" s="13" t="str">
        <f t="shared" si="3"/>
        <v>vis</v>
      </c>
      <c r="E22" s="42">
        <f>VLOOKUP(C22,Active!C$21:E$973,3,FALSE)</f>
        <v>-2679.0042977629987</v>
      </c>
      <c r="F22" s="5" t="s">
        <v>57</v>
      </c>
      <c r="G22" s="13" t="str">
        <f t="shared" si="4"/>
        <v>29879.230</v>
      </c>
      <c r="H22" s="10">
        <f t="shared" si="5"/>
        <v>-2679</v>
      </c>
      <c r="I22" s="43" t="s">
        <v>60</v>
      </c>
      <c r="J22" s="44" t="s">
        <v>61</v>
      </c>
      <c r="K22" s="43">
        <v>-2679</v>
      </c>
      <c r="L22" s="43" t="s">
        <v>62</v>
      </c>
      <c r="M22" s="44" t="s">
        <v>63</v>
      </c>
      <c r="N22" s="44" t="s">
        <v>64</v>
      </c>
      <c r="O22" s="45" t="s">
        <v>65</v>
      </c>
      <c r="P22" s="45" t="s">
        <v>66</v>
      </c>
    </row>
    <row r="23" spans="1:16" ht="12.75" customHeight="1" thickBot="1">
      <c r="A23" s="10" t="str">
        <f t="shared" si="0"/>
        <v> APJ 111.454 </v>
      </c>
      <c r="B23" s="5" t="str">
        <f t="shared" si="1"/>
        <v>I</v>
      </c>
      <c r="C23" s="10">
        <f t="shared" si="2"/>
        <v>30578.49</v>
      </c>
      <c r="D23" s="13" t="str">
        <f t="shared" si="3"/>
        <v>vis</v>
      </c>
      <c r="E23" s="42">
        <f>VLOOKUP(C23,Active!C$21:E$973,3,FALSE)</f>
        <v>-2513.0048637079267</v>
      </c>
      <c r="F23" s="5" t="s">
        <v>57</v>
      </c>
      <c r="G23" s="13" t="str">
        <f t="shared" si="4"/>
        <v>30578.490</v>
      </c>
      <c r="H23" s="10">
        <f t="shared" si="5"/>
        <v>-2513</v>
      </c>
      <c r="I23" s="43" t="s">
        <v>67</v>
      </c>
      <c r="J23" s="44" t="s">
        <v>68</v>
      </c>
      <c r="K23" s="43">
        <v>-2513</v>
      </c>
      <c r="L23" s="43" t="s">
        <v>69</v>
      </c>
      <c r="M23" s="44" t="s">
        <v>63</v>
      </c>
      <c r="N23" s="44" t="s">
        <v>64</v>
      </c>
      <c r="O23" s="45" t="s">
        <v>65</v>
      </c>
      <c r="P23" s="45" t="s">
        <v>66</v>
      </c>
    </row>
    <row r="24" spans="1:16" ht="12.75" customHeight="1" thickBot="1">
      <c r="A24" s="10" t="str">
        <f t="shared" si="0"/>
        <v> HA 113.73 </v>
      </c>
      <c r="B24" s="5" t="str">
        <f t="shared" si="1"/>
        <v>I</v>
      </c>
      <c r="C24" s="10">
        <f t="shared" si="2"/>
        <v>30856.452000000001</v>
      </c>
      <c r="D24" s="13" t="str">
        <f t="shared" si="3"/>
        <v>vis</v>
      </c>
      <c r="E24" s="42">
        <f>VLOOKUP(C24,Active!C$21:E$973,3,FALSE)</f>
        <v>-2447.0186287040433</v>
      </c>
      <c r="F24" s="5" t="s">
        <v>57</v>
      </c>
      <c r="G24" s="13" t="str">
        <f t="shared" si="4"/>
        <v>30856.452</v>
      </c>
      <c r="H24" s="10">
        <f t="shared" si="5"/>
        <v>-2447</v>
      </c>
      <c r="I24" s="43" t="s">
        <v>70</v>
      </c>
      <c r="J24" s="44" t="s">
        <v>71</v>
      </c>
      <c r="K24" s="43">
        <v>-2447</v>
      </c>
      <c r="L24" s="43" t="s">
        <v>72</v>
      </c>
      <c r="M24" s="44" t="s">
        <v>59</v>
      </c>
      <c r="N24" s="44"/>
      <c r="O24" s="45" t="s">
        <v>73</v>
      </c>
      <c r="P24" s="45" t="s">
        <v>74</v>
      </c>
    </row>
    <row r="25" spans="1:16" ht="12.75" customHeight="1" thickBot="1">
      <c r="A25" s="10" t="str">
        <f t="shared" si="0"/>
        <v> APJ 111.454 </v>
      </c>
      <c r="B25" s="5" t="str">
        <f t="shared" si="1"/>
        <v>I</v>
      </c>
      <c r="C25" s="10">
        <f t="shared" si="2"/>
        <v>30961.797999999999</v>
      </c>
      <c r="D25" s="13" t="str">
        <f t="shared" si="3"/>
        <v>vis</v>
      </c>
      <c r="E25" s="42">
        <f>VLOOKUP(C25,Active!C$21:E$973,3,FALSE)</f>
        <v>-2422.0102249915967</v>
      </c>
      <c r="F25" s="5" t="s">
        <v>57</v>
      </c>
      <c r="G25" s="13" t="str">
        <f t="shared" si="4"/>
        <v>30961.798</v>
      </c>
      <c r="H25" s="10">
        <f t="shared" si="5"/>
        <v>-2422</v>
      </c>
      <c r="I25" s="43" t="s">
        <v>75</v>
      </c>
      <c r="J25" s="44" t="s">
        <v>76</v>
      </c>
      <c r="K25" s="43">
        <v>-2422</v>
      </c>
      <c r="L25" s="43" t="s">
        <v>77</v>
      </c>
      <c r="M25" s="44" t="s">
        <v>63</v>
      </c>
      <c r="N25" s="44" t="s">
        <v>64</v>
      </c>
      <c r="O25" s="45" t="s">
        <v>65</v>
      </c>
      <c r="P25" s="45" t="s">
        <v>66</v>
      </c>
    </row>
    <row r="26" spans="1:16" ht="12.75" customHeight="1" thickBot="1">
      <c r="A26" s="10" t="str">
        <f t="shared" si="0"/>
        <v> APJ 111.454 </v>
      </c>
      <c r="B26" s="5" t="str">
        <f t="shared" si="1"/>
        <v>I</v>
      </c>
      <c r="C26" s="10">
        <f t="shared" si="2"/>
        <v>32061.258999999998</v>
      </c>
      <c r="D26" s="13" t="str">
        <f t="shared" si="3"/>
        <v>vis</v>
      </c>
      <c r="E26" s="42">
        <f>VLOOKUP(C26,Active!C$21:E$973,3,FALSE)</f>
        <v>-2161.005872153421</v>
      </c>
      <c r="F26" s="5" t="s">
        <v>57</v>
      </c>
      <c r="G26" s="13" t="str">
        <f t="shared" si="4"/>
        <v>32061.259</v>
      </c>
      <c r="H26" s="10">
        <f t="shared" si="5"/>
        <v>-2161</v>
      </c>
      <c r="I26" s="43" t="s">
        <v>78</v>
      </c>
      <c r="J26" s="44" t="s">
        <v>79</v>
      </c>
      <c r="K26" s="43">
        <v>-2161</v>
      </c>
      <c r="L26" s="43" t="s">
        <v>80</v>
      </c>
      <c r="M26" s="44" t="s">
        <v>63</v>
      </c>
      <c r="N26" s="44" t="s">
        <v>64</v>
      </c>
      <c r="O26" s="45" t="s">
        <v>65</v>
      </c>
      <c r="P26" s="45" t="s">
        <v>66</v>
      </c>
    </row>
    <row r="27" spans="1:16" ht="12.75" customHeight="1" thickBot="1">
      <c r="A27" s="10" t="str">
        <f t="shared" si="0"/>
        <v> APJ 111.454 </v>
      </c>
      <c r="B27" s="5" t="str">
        <f t="shared" si="1"/>
        <v>I</v>
      </c>
      <c r="C27" s="10">
        <f t="shared" si="2"/>
        <v>32448.81</v>
      </c>
      <c r="D27" s="13" t="str">
        <f t="shared" si="3"/>
        <v>vis</v>
      </c>
      <c r="E27" s="42">
        <f>VLOOKUP(C27,Active!C$21:E$973,3,FALSE)</f>
        <v>-2069.0039749085086</v>
      </c>
      <c r="F27" s="5" t="s">
        <v>57</v>
      </c>
      <c r="G27" s="13" t="str">
        <f t="shared" si="4"/>
        <v>32448.81</v>
      </c>
      <c r="H27" s="10">
        <f t="shared" si="5"/>
        <v>-2069</v>
      </c>
      <c r="I27" s="43" t="s">
        <v>81</v>
      </c>
      <c r="J27" s="44" t="s">
        <v>82</v>
      </c>
      <c r="K27" s="43">
        <v>-2069</v>
      </c>
      <c r="L27" s="43" t="s">
        <v>83</v>
      </c>
      <c r="M27" s="44" t="s">
        <v>63</v>
      </c>
      <c r="N27" s="44" t="s">
        <v>64</v>
      </c>
      <c r="O27" s="45" t="s">
        <v>84</v>
      </c>
      <c r="P27" s="45" t="s">
        <v>66</v>
      </c>
    </row>
    <row r="28" spans="1:16" ht="12.75" customHeight="1" thickBot="1">
      <c r="A28" s="10" t="str">
        <f t="shared" si="0"/>
        <v> APJ 111.454 </v>
      </c>
      <c r="B28" s="5" t="str">
        <f t="shared" si="1"/>
        <v>I</v>
      </c>
      <c r="C28" s="10">
        <f t="shared" si="2"/>
        <v>33122.75</v>
      </c>
      <c r="D28" s="13" t="str">
        <f t="shared" si="3"/>
        <v>vis</v>
      </c>
      <c r="E28" s="42">
        <f>VLOOKUP(C28,Active!C$21:E$973,3,FALSE)</f>
        <v>-1909.0153317899626</v>
      </c>
      <c r="F28" s="5" t="s">
        <v>57</v>
      </c>
      <c r="G28" s="13" t="str">
        <f t="shared" si="4"/>
        <v>33122.75</v>
      </c>
      <c r="H28" s="10">
        <f t="shared" si="5"/>
        <v>-1909</v>
      </c>
      <c r="I28" s="43" t="s">
        <v>85</v>
      </c>
      <c r="J28" s="44" t="s">
        <v>86</v>
      </c>
      <c r="K28" s="43">
        <v>-1909</v>
      </c>
      <c r="L28" s="43" t="s">
        <v>87</v>
      </c>
      <c r="M28" s="44" t="s">
        <v>63</v>
      </c>
      <c r="N28" s="44" t="s">
        <v>64</v>
      </c>
      <c r="O28" s="45" t="s">
        <v>65</v>
      </c>
      <c r="P28" s="45" t="s">
        <v>66</v>
      </c>
    </row>
    <row r="29" spans="1:16" ht="12.75" customHeight="1" thickBot="1">
      <c r="A29" s="10" t="str">
        <f t="shared" si="0"/>
        <v> APJ 111.454 </v>
      </c>
      <c r="B29" s="5" t="str">
        <f t="shared" si="1"/>
        <v>I</v>
      </c>
      <c r="C29" s="10">
        <f t="shared" si="2"/>
        <v>33181.760000000002</v>
      </c>
      <c r="D29" s="13" t="str">
        <f t="shared" si="3"/>
        <v>vis</v>
      </c>
      <c r="E29" s="42">
        <f>VLOOKUP(C29,Active!C$21:E$973,3,FALSE)</f>
        <v>-1895.0067704485587</v>
      </c>
      <c r="F29" s="5" t="s">
        <v>57</v>
      </c>
      <c r="G29" s="13" t="str">
        <f t="shared" si="4"/>
        <v>33181.76</v>
      </c>
      <c r="H29" s="10">
        <f t="shared" si="5"/>
        <v>-1895</v>
      </c>
      <c r="I29" s="43" t="s">
        <v>88</v>
      </c>
      <c r="J29" s="44" t="s">
        <v>89</v>
      </c>
      <c r="K29" s="43">
        <v>-1895</v>
      </c>
      <c r="L29" s="43" t="s">
        <v>90</v>
      </c>
      <c r="M29" s="44" t="s">
        <v>63</v>
      </c>
      <c r="N29" s="44" t="s">
        <v>64</v>
      </c>
      <c r="O29" s="45" t="s">
        <v>65</v>
      </c>
      <c r="P29" s="45" t="s">
        <v>66</v>
      </c>
    </row>
    <row r="30" spans="1:16" ht="12.75" customHeight="1" thickBot="1">
      <c r="A30" s="10" t="str">
        <f t="shared" si="0"/>
        <v> PZ 15.549 </v>
      </c>
      <c r="B30" s="5" t="str">
        <f t="shared" si="1"/>
        <v>I</v>
      </c>
      <c r="C30" s="10">
        <f t="shared" si="2"/>
        <v>37920.748</v>
      </c>
      <c r="D30" s="13" t="str">
        <f t="shared" si="3"/>
        <v>vis</v>
      </c>
      <c r="E30" s="42">
        <f>VLOOKUP(C30,Active!C$21:E$973,3,FALSE)</f>
        <v>-770.00415912548272</v>
      </c>
      <c r="F30" s="5" t="s">
        <v>57</v>
      </c>
      <c r="G30" s="13" t="str">
        <f t="shared" si="4"/>
        <v>37920.748</v>
      </c>
      <c r="H30" s="10">
        <f t="shared" si="5"/>
        <v>-770</v>
      </c>
      <c r="I30" s="43" t="s">
        <v>91</v>
      </c>
      <c r="J30" s="44" t="s">
        <v>92</v>
      </c>
      <c r="K30" s="43">
        <v>-770</v>
      </c>
      <c r="L30" s="43" t="s">
        <v>62</v>
      </c>
      <c r="M30" s="44" t="s">
        <v>63</v>
      </c>
      <c r="N30" s="44" t="s">
        <v>64</v>
      </c>
      <c r="O30" s="45" t="s">
        <v>93</v>
      </c>
      <c r="P30" s="45" t="s">
        <v>94</v>
      </c>
    </row>
    <row r="31" spans="1:16" ht="12.75" customHeight="1" thickBot="1">
      <c r="A31" s="10" t="str">
        <f t="shared" si="0"/>
        <v> PZ 15.555 </v>
      </c>
      <c r="B31" s="5" t="str">
        <f t="shared" si="1"/>
        <v>I</v>
      </c>
      <c r="C31" s="10">
        <f t="shared" si="2"/>
        <v>38628.442000000003</v>
      </c>
      <c r="D31" s="13" t="str">
        <f t="shared" si="3"/>
        <v>vis</v>
      </c>
      <c r="E31" s="42">
        <f>VLOOKUP(C31,Active!C$21:E$973,3,FALSE)</f>
        <v>-602.00255244961079</v>
      </c>
      <c r="F31" s="5" t="s">
        <v>57</v>
      </c>
      <c r="G31" s="13" t="str">
        <f t="shared" si="4"/>
        <v>38628.442</v>
      </c>
      <c r="H31" s="10">
        <f t="shared" si="5"/>
        <v>-602</v>
      </c>
      <c r="I31" s="43" t="s">
        <v>95</v>
      </c>
      <c r="J31" s="44" t="s">
        <v>96</v>
      </c>
      <c r="K31" s="43">
        <v>-602</v>
      </c>
      <c r="L31" s="43" t="s">
        <v>97</v>
      </c>
      <c r="M31" s="44" t="s">
        <v>63</v>
      </c>
      <c r="N31" s="44" t="s">
        <v>64</v>
      </c>
      <c r="O31" s="45" t="s">
        <v>98</v>
      </c>
      <c r="P31" s="45" t="s">
        <v>99</v>
      </c>
    </row>
    <row r="32" spans="1:16" ht="12.75" customHeight="1" thickBot="1">
      <c r="A32" s="10" t="str">
        <f t="shared" si="0"/>
        <v> APJ 152.89 </v>
      </c>
      <c r="B32" s="5" t="str">
        <f t="shared" si="1"/>
        <v>I</v>
      </c>
      <c r="C32" s="10">
        <f t="shared" si="2"/>
        <v>38636.887000000002</v>
      </c>
      <c r="D32" s="13" t="str">
        <f t="shared" si="3"/>
        <v>vis</v>
      </c>
      <c r="E32" s="42">
        <f>VLOOKUP(C32,Active!C$21:E$973,3,FALSE)</f>
        <v>-599.99776850573437</v>
      </c>
      <c r="F32" s="5" t="s">
        <v>57</v>
      </c>
      <c r="G32" s="13" t="str">
        <f t="shared" si="4"/>
        <v>38636.887</v>
      </c>
      <c r="H32" s="10">
        <f t="shared" si="5"/>
        <v>-600</v>
      </c>
      <c r="I32" s="43" t="s">
        <v>100</v>
      </c>
      <c r="J32" s="44" t="s">
        <v>101</v>
      </c>
      <c r="K32" s="43">
        <v>-600</v>
      </c>
      <c r="L32" s="43" t="s">
        <v>102</v>
      </c>
      <c r="M32" s="44" t="s">
        <v>63</v>
      </c>
      <c r="N32" s="44" t="s">
        <v>64</v>
      </c>
      <c r="O32" s="45" t="s">
        <v>103</v>
      </c>
      <c r="P32" s="45" t="s">
        <v>104</v>
      </c>
    </row>
    <row r="33" spans="1:16" ht="12.75" customHeight="1" thickBot="1">
      <c r="A33" s="10" t="str">
        <f t="shared" si="0"/>
        <v> PASP 102.750 </v>
      </c>
      <c r="B33" s="5" t="str">
        <f t="shared" si="1"/>
        <v>I</v>
      </c>
      <c r="C33" s="10">
        <f t="shared" si="2"/>
        <v>38982.277000000002</v>
      </c>
      <c r="D33" s="13" t="str">
        <f t="shared" si="3"/>
        <v>vis</v>
      </c>
      <c r="E33" s="42">
        <f>VLOOKUP(C33,Active!C$21:E$973,3,FALSE)</f>
        <v>-518.00459782775908</v>
      </c>
      <c r="F33" s="5" t="s">
        <v>57</v>
      </c>
      <c r="G33" s="13" t="str">
        <f t="shared" si="4"/>
        <v>38982.277</v>
      </c>
      <c r="H33" s="10">
        <f t="shared" si="5"/>
        <v>-518</v>
      </c>
      <c r="I33" s="43" t="s">
        <v>105</v>
      </c>
      <c r="J33" s="44" t="s">
        <v>106</v>
      </c>
      <c r="K33" s="43">
        <v>-518</v>
      </c>
      <c r="L33" s="43" t="s">
        <v>107</v>
      </c>
      <c r="M33" s="44" t="s">
        <v>63</v>
      </c>
      <c r="N33" s="44" t="s">
        <v>64</v>
      </c>
      <c r="O33" s="45" t="s">
        <v>108</v>
      </c>
      <c r="P33" s="45" t="s">
        <v>109</v>
      </c>
    </row>
    <row r="34" spans="1:16" ht="12.75" customHeight="1" thickBot="1">
      <c r="A34" s="10" t="str">
        <f t="shared" si="0"/>
        <v> PSMO 161 </v>
      </c>
      <c r="B34" s="5" t="str">
        <f t="shared" si="1"/>
        <v>I</v>
      </c>
      <c r="C34" s="10">
        <f t="shared" si="2"/>
        <v>39020.186000000002</v>
      </c>
      <c r="D34" s="13" t="str">
        <f t="shared" si="3"/>
        <v>vis</v>
      </c>
      <c r="E34" s="42">
        <f>VLOOKUP(C34,Active!C$21:E$973,3,FALSE)</f>
        <v>-509.00526632646677</v>
      </c>
      <c r="F34" s="5" t="s">
        <v>57</v>
      </c>
      <c r="G34" s="13" t="str">
        <f t="shared" si="4"/>
        <v>39020.186</v>
      </c>
      <c r="H34" s="10">
        <f t="shared" si="5"/>
        <v>-509</v>
      </c>
      <c r="I34" s="43" t="s">
        <v>110</v>
      </c>
      <c r="J34" s="44" t="s">
        <v>111</v>
      </c>
      <c r="K34" s="43">
        <v>-509</v>
      </c>
      <c r="L34" s="43" t="s">
        <v>112</v>
      </c>
      <c r="M34" s="44" t="s">
        <v>63</v>
      </c>
      <c r="N34" s="44" t="s">
        <v>64</v>
      </c>
      <c r="O34" s="45" t="s">
        <v>113</v>
      </c>
      <c r="P34" s="45" t="s">
        <v>114</v>
      </c>
    </row>
    <row r="35" spans="1:16" ht="12.75" customHeight="1" thickBot="1">
      <c r="A35" s="10" t="str">
        <f t="shared" si="0"/>
        <v> PASP 102.750 </v>
      </c>
      <c r="B35" s="5" t="str">
        <f t="shared" si="1"/>
        <v>I</v>
      </c>
      <c r="C35" s="10">
        <f t="shared" si="2"/>
        <v>41185.404000000002</v>
      </c>
      <c r="D35" s="13" t="str">
        <f t="shared" si="3"/>
        <v>vis</v>
      </c>
      <c r="E35" s="42">
        <f>VLOOKUP(C35,Active!C$21:E$973,3,FALSE)</f>
        <v>5.0023454429089078</v>
      </c>
      <c r="F35" s="5" t="s">
        <v>57</v>
      </c>
      <c r="G35" s="13" t="str">
        <f t="shared" si="4"/>
        <v>41185.404</v>
      </c>
      <c r="H35" s="10">
        <f t="shared" si="5"/>
        <v>5</v>
      </c>
      <c r="I35" s="43" t="s">
        <v>118</v>
      </c>
      <c r="J35" s="44" t="s">
        <v>119</v>
      </c>
      <c r="K35" s="43">
        <v>5</v>
      </c>
      <c r="L35" s="43" t="s">
        <v>120</v>
      </c>
      <c r="M35" s="44" t="s">
        <v>63</v>
      </c>
      <c r="N35" s="44" t="s">
        <v>64</v>
      </c>
      <c r="O35" s="45" t="s">
        <v>108</v>
      </c>
      <c r="P35" s="45" t="s">
        <v>109</v>
      </c>
    </row>
    <row r="36" spans="1:16" ht="12.75" customHeight="1" thickBot="1">
      <c r="A36" s="10" t="str">
        <f t="shared" si="0"/>
        <v> PASP 102.750 </v>
      </c>
      <c r="B36" s="5" t="str">
        <f t="shared" si="1"/>
        <v>I</v>
      </c>
      <c r="C36" s="10">
        <f t="shared" si="2"/>
        <v>47049.142</v>
      </c>
      <c r="D36" s="13" t="str">
        <f t="shared" si="3"/>
        <v>vis</v>
      </c>
      <c r="E36" s="42">
        <f>VLOOKUP(C36,Active!C$21:E$973,3,FALSE)</f>
        <v>1397.0127413574694</v>
      </c>
      <c r="F36" s="5" t="s">
        <v>57</v>
      </c>
      <c r="G36" s="13" t="str">
        <f t="shared" si="4"/>
        <v>47049.142</v>
      </c>
      <c r="H36" s="10">
        <f t="shared" si="5"/>
        <v>1397</v>
      </c>
      <c r="I36" s="43" t="s">
        <v>139</v>
      </c>
      <c r="J36" s="44" t="s">
        <v>140</v>
      </c>
      <c r="K36" s="43">
        <v>1397</v>
      </c>
      <c r="L36" s="43" t="s">
        <v>141</v>
      </c>
      <c r="M36" s="44" t="s">
        <v>142</v>
      </c>
      <c r="N36" s="44"/>
      <c r="O36" s="45" t="s">
        <v>143</v>
      </c>
      <c r="P36" s="45" t="s">
        <v>109</v>
      </c>
    </row>
    <row r="37" spans="1:16" ht="12.75" customHeight="1" thickBot="1">
      <c r="A37" s="10" t="str">
        <f t="shared" si="0"/>
        <v>BAVM 132 </v>
      </c>
      <c r="B37" s="5" t="str">
        <f t="shared" si="1"/>
        <v>I</v>
      </c>
      <c r="C37" s="10">
        <f t="shared" si="2"/>
        <v>51413.27</v>
      </c>
      <c r="D37" s="13" t="str">
        <f t="shared" si="3"/>
        <v>vis</v>
      </c>
      <c r="E37" s="42">
        <f>VLOOKUP(C37,Active!C$21:E$973,3,FALSE)</f>
        <v>2433.0262100871123</v>
      </c>
      <c r="F37" s="5" t="s">
        <v>57</v>
      </c>
      <c r="G37" s="13" t="str">
        <f t="shared" si="4"/>
        <v>51413.270</v>
      </c>
      <c r="H37" s="10">
        <f t="shared" si="5"/>
        <v>2433</v>
      </c>
      <c r="I37" s="43" t="s">
        <v>162</v>
      </c>
      <c r="J37" s="44" t="s">
        <v>163</v>
      </c>
      <c r="K37" s="43">
        <v>2433</v>
      </c>
      <c r="L37" s="43" t="s">
        <v>164</v>
      </c>
      <c r="M37" s="44" t="s">
        <v>63</v>
      </c>
      <c r="N37" s="44" t="s">
        <v>29</v>
      </c>
      <c r="O37" s="45" t="s">
        <v>165</v>
      </c>
      <c r="P37" s="46" t="s">
        <v>166</v>
      </c>
    </row>
    <row r="38" spans="1:16" ht="12.75" customHeight="1" thickBot="1">
      <c r="A38" s="10" t="str">
        <f t="shared" si="0"/>
        <v>BAVM 132 </v>
      </c>
      <c r="B38" s="5" t="str">
        <f t="shared" si="1"/>
        <v>I</v>
      </c>
      <c r="C38" s="10">
        <f t="shared" si="2"/>
        <v>51413.279999999999</v>
      </c>
      <c r="D38" s="13" t="str">
        <f t="shared" si="3"/>
        <v>vis</v>
      </c>
      <c r="E38" s="42">
        <f>VLOOKUP(C38,Active!C$21:E$973,3,FALSE)</f>
        <v>2433.0285840171823</v>
      </c>
      <c r="F38" s="5" t="s">
        <v>57</v>
      </c>
      <c r="G38" s="13" t="str">
        <f t="shared" si="4"/>
        <v>51413.280</v>
      </c>
      <c r="H38" s="10">
        <f t="shared" si="5"/>
        <v>2433</v>
      </c>
      <c r="I38" s="43" t="s">
        <v>167</v>
      </c>
      <c r="J38" s="44" t="s">
        <v>168</v>
      </c>
      <c r="K38" s="43">
        <v>2433</v>
      </c>
      <c r="L38" s="43" t="s">
        <v>169</v>
      </c>
      <c r="M38" s="44" t="s">
        <v>63</v>
      </c>
      <c r="N38" s="44" t="s">
        <v>170</v>
      </c>
      <c r="O38" s="45" t="s">
        <v>165</v>
      </c>
      <c r="P38" s="46" t="s">
        <v>166</v>
      </c>
    </row>
    <row r="39" spans="1:16" ht="12.75" customHeight="1" thickBot="1">
      <c r="A39" s="10" t="str">
        <f t="shared" si="0"/>
        <v>BAVM 203 </v>
      </c>
      <c r="B39" s="5" t="str">
        <f t="shared" si="1"/>
        <v>I</v>
      </c>
      <c r="C39" s="10">
        <f t="shared" si="2"/>
        <v>54707.449399999998</v>
      </c>
      <c r="D39" s="13" t="str">
        <f t="shared" si="3"/>
        <v>vis</v>
      </c>
      <c r="E39" s="42">
        <f>VLOOKUP(C39,Active!C$21:E$973,3,FALSE)</f>
        <v>3215.0413633575336</v>
      </c>
      <c r="F39" s="5" t="s">
        <v>57</v>
      </c>
      <c r="G39" s="13" t="str">
        <f t="shared" si="4"/>
        <v>54707.4494</v>
      </c>
      <c r="H39" s="10">
        <f t="shared" si="5"/>
        <v>3215</v>
      </c>
      <c r="I39" s="43" t="s">
        <v>171</v>
      </c>
      <c r="J39" s="44" t="s">
        <v>172</v>
      </c>
      <c r="K39" s="43">
        <v>3215</v>
      </c>
      <c r="L39" s="43" t="s">
        <v>173</v>
      </c>
      <c r="M39" s="44" t="s">
        <v>174</v>
      </c>
      <c r="N39" s="44" t="s">
        <v>175</v>
      </c>
      <c r="O39" s="45" t="s">
        <v>165</v>
      </c>
      <c r="P39" s="46" t="s">
        <v>176</v>
      </c>
    </row>
    <row r="40" spans="1:16" ht="12.75" customHeight="1" thickBot="1">
      <c r="A40" s="10" t="str">
        <f t="shared" si="0"/>
        <v>BAVM 203 </v>
      </c>
      <c r="B40" s="5" t="str">
        <f t="shared" si="1"/>
        <v>II</v>
      </c>
      <c r="C40" s="10">
        <f t="shared" si="2"/>
        <v>54709.562899999997</v>
      </c>
      <c r="D40" s="13" t="str">
        <f t="shared" si="3"/>
        <v>vis</v>
      </c>
      <c r="E40" s="42">
        <f>VLOOKUP(C40,Active!C$21:E$973,3,FALSE)</f>
        <v>3215.5430934777683</v>
      </c>
      <c r="F40" s="5" t="s">
        <v>57</v>
      </c>
      <c r="G40" s="13" t="str">
        <f t="shared" si="4"/>
        <v>54709.5629</v>
      </c>
      <c r="H40" s="10">
        <f t="shared" si="5"/>
        <v>3215.5</v>
      </c>
      <c r="I40" s="43" t="s">
        <v>177</v>
      </c>
      <c r="J40" s="44" t="s">
        <v>178</v>
      </c>
      <c r="K40" s="43" t="s">
        <v>179</v>
      </c>
      <c r="L40" s="43" t="s">
        <v>180</v>
      </c>
      <c r="M40" s="44" t="s">
        <v>174</v>
      </c>
      <c r="N40" s="44" t="s">
        <v>175</v>
      </c>
      <c r="O40" s="45" t="s">
        <v>181</v>
      </c>
      <c r="P40" s="46" t="s">
        <v>176</v>
      </c>
    </row>
    <row r="41" spans="1:16" ht="12.75" customHeight="1" thickBot="1">
      <c r="A41" s="10" t="str">
        <f t="shared" si="0"/>
        <v>BAVM 212 </v>
      </c>
      <c r="B41" s="5" t="str">
        <f t="shared" si="1"/>
        <v>II</v>
      </c>
      <c r="C41" s="10">
        <f t="shared" si="2"/>
        <v>55084.510399999999</v>
      </c>
      <c r="D41" s="13" t="str">
        <f t="shared" si="3"/>
        <v>vis</v>
      </c>
      <c r="E41" s="42">
        <f>VLOOKUP(C41,Active!C$21:E$973,3,FALSE)</f>
        <v>3304.5530079593118</v>
      </c>
      <c r="F41" s="5" t="s">
        <v>57</v>
      </c>
      <c r="G41" s="13" t="str">
        <f t="shared" si="4"/>
        <v>55084.5104</v>
      </c>
      <c r="H41" s="10">
        <f t="shared" si="5"/>
        <v>3304.5</v>
      </c>
      <c r="I41" s="43" t="s">
        <v>182</v>
      </c>
      <c r="J41" s="44" t="s">
        <v>183</v>
      </c>
      <c r="K41" s="43" t="s">
        <v>184</v>
      </c>
      <c r="L41" s="43" t="s">
        <v>185</v>
      </c>
      <c r="M41" s="44" t="s">
        <v>174</v>
      </c>
      <c r="N41" s="44" t="s">
        <v>175</v>
      </c>
      <c r="O41" s="45" t="s">
        <v>181</v>
      </c>
      <c r="P41" s="46" t="s">
        <v>186</v>
      </c>
    </row>
    <row r="42" spans="1:16">
      <c r="B42" s="5"/>
      <c r="E42" s="42"/>
      <c r="F42" s="5"/>
    </row>
    <row r="43" spans="1:16">
      <c r="B43" s="5"/>
      <c r="E43" s="42"/>
      <c r="F43" s="5"/>
    </row>
    <row r="44" spans="1:16">
      <c r="B44" s="5"/>
      <c r="E44" s="42"/>
      <c r="F44" s="5"/>
    </row>
    <row r="45" spans="1:16">
      <c r="B45" s="5"/>
      <c r="E45" s="42"/>
      <c r="F45" s="5"/>
    </row>
    <row r="46" spans="1:16">
      <c r="B46" s="5"/>
      <c r="E46" s="42"/>
      <c r="F46" s="5"/>
    </row>
    <row r="47" spans="1:16">
      <c r="B47" s="5"/>
      <c r="E47" s="42"/>
      <c r="F47" s="5"/>
    </row>
    <row r="48" spans="1:16">
      <c r="B48" s="5"/>
      <c r="E48" s="42"/>
      <c r="F48" s="5"/>
    </row>
    <row r="49" spans="2:6">
      <c r="B49" s="5"/>
      <c r="E49" s="42"/>
      <c r="F49" s="5"/>
    </row>
    <row r="50" spans="2:6">
      <c r="B50" s="5"/>
      <c r="E50" s="42"/>
      <c r="F50" s="5"/>
    </row>
    <row r="51" spans="2:6">
      <c r="B51" s="5"/>
      <c r="E51" s="42"/>
      <c r="F51" s="5"/>
    </row>
    <row r="52" spans="2:6">
      <c r="B52" s="5"/>
      <c r="E52" s="42"/>
      <c r="F52" s="5"/>
    </row>
    <row r="53" spans="2:6">
      <c r="B53" s="5"/>
      <c r="E53" s="42"/>
      <c r="F53" s="5"/>
    </row>
    <row r="54" spans="2:6">
      <c r="B54" s="5"/>
      <c r="E54" s="42"/>
      <c r="F54" s="5"/>
    </row>
    <row r="55" spans="2:6">
      <c r="B55" s="5"/>
      <c r="E55" s="42"/>
      <c r="F55" s="5"/>
    </row>
    <row r="56" spans="2:6">
      <c r="B56" s="5"/>
      <c r="E56" s="42"/>
      <c r="F56" s="5"/>
    </row>
    <row r="57" spans="2:6">
      <c r="B57" s="5"/>
      <c r="E57" s="42"/>
      <c r="F57" s="5"/>
    </row>
    <row r="58" spans="2:6">
      <c r="B58" s="5"/>
      <c r="E58" s="42"/>
      <c r="F58" s="5"/>
    </row>
    <row r="59" spans="2:6">
      <c r="B59" s="5"/>
      <c r="E59" s="42"/>
      <c r="F59" s="5"/>
    </row>
    <row r="60" spans="2:6">
      <c r="B60" s="5"/>
      <c r="E60" s="42"/>
      <c r="F60" s="5"/>
    </row>
    <row r="61" spans="2:6">
      <c r="B61" s="5"/>
      <c r="E61" s="42"/>
      <c r="F61" s="5"/>
    </row>
    <row r="62" spans="2:6">
      <c r="B62" s="5"/>
      <c r="E62" s="42"/>
      <c r="F62" s="5"/>
    </row>
    <row r="63" spans="2:6">
      <c r="B63" s="5"/>
      <c r="E63" s="42"/>
      <c r="F63" s="5"/>
    </row>
    <row r="64" spans="2:6">
      <c r="B64" s="5"/>
      <c r="E64" s="42"/>
      <c r="F64" s="5"/>
    </row>
    <row r="65" spans="2:6">
      <c r="B65" s="5"/>
      <c r="E65" s="42"/>
      <c r="F65" s="5"/>
    </row>
    <row r="66" spans="2:6">
      <c r="B66" s="5"/>
      <c r="E66" s="42"/>
      <c r="F66" s="5"/>
    </row>
    <row r="67" spans="2:6">
      <c r="B67" s="5"/>
      <c r="E67" s="42"/>
      <c r="F67" s="5"/>
    </row>
    <row r="68" spans="2:6">
      <c r="B68" s="5"/>
      <c r="E68" s="42"/>
      <c r="F68" s="5"/>
    </row>
    <row r="69" spans="2:6">
      <c r="B69" s="5"/>
      <c r="E69" s="42"/>
      <c r="F69" s="5"/>
    </row>
    <row r="70" spans="2:6">
      <c r="B70" s="5"/>
      <c r="E70" s="42"/>
      <c r="F70" s="5"/>
    </row>
    <row r="71" spans="2:6">
      <c r="B71" s="5"/>
      <c r="E71" s="42"/>
      <c r="F71" s="5"/>
    </row>
    <row r="72" spans="2:6">
      <c r="B72" s="5"/>
      <c r="E72" s="42"/>
      <c r="F72" s="5"/>
    </row>
    <row r="73" spans="2:6">
      <c r="B73" s="5"/>
      <c r="E73" s="42"/>
      <c r="F73" s="5"/>
    </row>
    <row r="74" spans="2:6">
      <c r="B74" s="5"/>
      <c r="E74" s="42"/>
      <c r="F74" s="5"/>
    </row>
    <row r="75" spans="2:6">
      <c r="B75" s="5"/>
      <c r="E75" s="42"/>
      <c r="F75" s="5"/>
    </row>
    <row r="76" spans="2:6">
      <c r="B76" s="5"/>
      <c r="E76" s="42"/>
      <c r="F76" s="5"/>
    </row>
    <row r="77" spans="2:6">
      <c r="B77" s="5"/>
      <c r="E77" s="42"/>
      <c r="F77" s="5"/>
    </row>
    <row r="78" spans="2:6">
      <c r="B78" s="5"/>
      <c r="E78" s="42"/>
      <c r="F78" s="5"/>
    </row>
    <row r="79" spans="2:6">
      <c r="B79" s="5"/>
      <c r="E79" s="42"/>
      <c r="F79" s="5"/>
    </row>
    <row r="80" spans="2:6">
      <c r="B80" s="5"/>
      <c r="E80" s="42"/>
      <c r="F80" s="5"/>
    </row>
    <row r="81" spans="2:6">
      <c r="B81" s="5"/>
      <c r="E81" s="42"/>
      <c r="F81" s="5"/>
    </row>
    <row r="82" spans="2:6">
      <c r="B82" s="5"/>
      <c r="E82" s="42"/>
      <c r="F82" s="5"/>
    </row>
    <row r="83" spans="2:6">
      <c r="B83" s="5"/>
      <c r="E83" s="42"/>
      <c r="F83" s="5"/>
    </row>
    <row r="84" spans="2:6">
      <c r="B84" s="5"/>
      <c r="E84" s="42"/>
      <c r="F84" s="5"/>
    </row>
    <row r="85" spans="2:6">
      <c r="B85" s="5"/>
      <c r="E85" s="42"/>
      <c r="F85" s="5"/>
    </row>
    <row r="86" spans="2:6">
      <c r="B86" s="5"/>
      <c r="E86" s="42"/>
      <c r="F86" s="5"/>
    </row>
    <row r="87" spans="2:6">
      <c r="B87" s="5"/>
      <c r="E87" s="42"/>
      <c r="F87" s="5"/>
    </row>
    <row r="88" spans="2:6">
      <c r="B88" s="5"/>
      <c r="E88" s="42"/>
      <c r="F88" s="5"/>
    </row>
    <row r="89" spans="2:6">
      <c r="B89" s="5"/>
      <c r="E89" s="42"/>
      <c r="F89" s="5"/>
    </row>
    <row r="90" spans="2:6">
      <c r="B90" s="5"/>
      <c r="E90" s="42"/>
      <c r="F90" s="5"/>
    </row>
    <row r="91" spans="2:6">
      <c r="B91" s="5"/>
      <c r="E91" s="42"/>
      <c r="F91" s="5"/>
    </row>
    <row r="92" spans="2:6">
      <c r="B92" s="5"/>
      <c r="E92" s="42"/>
      <c r="F92" s="5"/>
    </row>
    <row r="93" spans="2:6">
      <c r="B93" s="5"/>
      <c r="E93" s="42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  <row r="848" spans="2:6">
      <c r="B848" s="5"/>
      <c r="F848" s="5"/>
    </row>
    <row r="849" spans="2:6">
      <c r="B849" s="5"/>
      <c r="F849" s="5"/>
    </row>
    <row r="850" spans="2:6">
      <c r="B850" s="5"/>
      <c r="F850" s="5"/>
    </row>
    <row r="851" spans="2:6">
      <c r="B851" s="5"/>
      <c r="F851" s="5"/>
    </row>
    <row r="852" spans="2:6">
      <c r="B852" s="5"/>
      <c r="F852" s="5"/>
    </row>
    <row r="853" spans="2:6">
      <c r="B853" s="5"/>
      <c r="F853" s="5"/>
    </row>
    <row r="854" spans="2:6">
      <c r="B854" s="5"/>
      <c r="F854" s="5"/>
    </row>
    <row r="855" spans="2:6">
      <c r="B855" s="5"/>
      <c r="F855" s="5"/>
    </row>
    <row r="856" spans="2:6">
      <c r="B856" s="5"/>
      <c r="F856" s="5"/>
    </row>
    <row r="857" spans="2:6">
      <c r="B857" s="5"/>
      <c r="F857" s="5"/>
    </row>
    <row r="858" spans="2:6">
      <c r="B858" s="5"/>
      <c r="F858" s="5"/>
    </row>
    <row r="859" spans="2:6">
      <c r="B859" s="5"/>
      <c r="F859" s="5"/>
    </row>
    <row r="860" spans="2:6">
      <c r="B860" s="5"/>
      <c r="F860" s="5"/>
    </row>
    <row r="861" spans="2:6">
      <c r="B861" s="5"/>
      <c r="F861" s="5"/>
    </row>
    <row r="862" spans="2:6">
      <c r="B862" s="5"/>
      <c r="F862" s="5"/>
    </row>
    <row r="863" spans="2:6">
      <c r="B863" s="5"/>
      <c r="F863" s="5"/>
    </row>
    <row r="864" spans="2:6">
      <c r="B864" s="5"/>
      <c r="F864" s="5"/>
    </row>
    <row r="865" spans="2:6">
      <c r="B865" s="5"/>
      <c r="F865" s="5"/>
    </row>
    <row r="866" spans="2:6">
      <c r="B866" s="5"/>
      <c r="F866" s="5"/>
    </row>
    <row r="867" spans="2:6">
      <c r="B867" s="5"/>
      <c r="F867" s="5"/>
    </row>
    <row r="868" spans="2:6">
      <c r="B868" s="5"/>
      <c r="F868" s="5"/>
    </row>
    <row r="869" spans="2:6">
      <c r="B869" s="5"/>
      <c r="F869" s="5"/>
    </row>
    <row r="870" spans="2:6">
      <c r="B870" s="5"/>
      <c r="F870" s="5"/>
    </row>
    <row r="871" spans="2:6">
      <c r="B871" s="5"/>
      <c r="F871" s="5"/>
    </row>
    <row r="872" spans="2:6">
      <c r="B872" s="5"/>
      <c r="F872" s="5"/>
    </row>
    <row r="873" spans="2:6">
      <c r="B873" s="5"/>
      <c r="F873" s="5"/>
    </row>
    <row r="874" spans="2:6">
      <c r="B874" s="5"/>
      <c r="F874" s="5"/>
    </row>
    <row r="875" spans="2:6">
      <c r="B875" s="5"/>
      <c r="F875" s="5"/>
    </row>
    <row r="876" spans="2:6">
      <c r="B876" s="5"/>
      <c r="F876" s="5"/>
    </row>
    <row r="877" spans="2:6">
      <c r="B877" s="5"/>
      <c r="F877" s="5"/>
    </row>
    <row r="878" spans="2:6">
      <c r="B878" s="5"/>
      <c r="F878" s="5"/>
    </row>
    <row r="879" spans="2:6">
      <c r="B879" s="5"/>
      <c r="F879" s="5"/>
    </row>
    <row r="880" spans="2:6">
      <c r="B880" s="5"/>
      <c r="F880" s="5"/>
    </row>
    <row r="881" spans="2:6">
      <c r="B881" s="5"/>
      <c r="F881" s="5"/>
    </row>
  </sheetData>
  <phoneticPr fontId="7" type="noConversion"/>
  <hyperlinks>
    <hyperlink ref="P13" r:id="rId1" display="http://www.konkoly.hu/cgi-bin/IBVS?4061" xr:uid="{00000000-0004-0000-0100-000000000000}"/>
    <hyperlink ref="P15" r:id="rId2" display="http://www.konkoly.hu/cgi-bin/IBVS?4061" xr:uid="{00000000-0004-0000-0100-000001000000}"/>
    <hyperlink ref="P19" r:id="rId3" display="http://www.konkoly.hu/cgi-bin/IBVS?4061" xr:uid="{00000000-0004-0000-0100-000002000000}"/>
    <hyperlink ref="P20" r:id="rId4" display="http://www.konkoly.hu/cgi-bin/IBVS?4061" xr:uid="{00000000-0004-0000-0100-000003000000}"/>
    <hyperlink ref="P37" r:id="rId5" display="http://www.bav-astro.de/sfs/BAVM_link.php?BAVMnr=132" xr:uid="{00000000-0004-0000-0100-000004000000}"/>
    <hyperlink ref="P38" r:id="rId6" display="http://www.bav-astro.de/sfs/BAVM_link.php?BAVMnr=132" xr:uid="{00000000-0004-0000-0100-000005000000}"/>
    <hyperlink ref="P39" r:id="rId7" display="http://www.bav-astro.de/sfs/BAVM_link.php?BAVMnr=203" xr:uid="{00000000-0004-0000-0100-000006000000}"/>
    <hyperlink ref="P40" r:id="rId8" display="http://www.bav-astro.de/sfs/BAVM_link.php?BAVMnr=203" xr:uid="{00000000-0004-0000-0100-000007000000}"/>
    <hyperlink ref="P41" r:id="rId9" display="http://www.bav-astro.de/sfs/BAVM_link.php?BAVMnr=212" xr:uid="{00000000-0004-0000-0100-000008000000}"/>
    <hyperlink ref="P21" r:id="rId10" display="http://www.bav-astro.de/sfs/BAVM_link.php?BAVMnr=228" xr:uid="{00000000-0004-0000-0100-00000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2023-01-12T07:01:23Z</dcterms:modified>
</cp:coreProperties>
</file>