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9A8F549-3181-47E3-91E8-BE8DF2E411FB}" xr6:coauthVersionLast="47" xr6:coauthVersionMax="47" xr10:uidLastSave="{00000000-0000-0000-0000-000000000000}"/>
  <bookViews>
    <workbookView xWindow="14475" yWindow="705" windowWidth="13470" windowHeight="14565"/>
  </bookViews>
  <sheets>
    <sheet name="Active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40" i="3" l="1"/>
  <c r="F40" i="3" s="1"/>
  <c r="G40" i="3" s="1"/>
  <c r="I40" i="3" s="1"/>
  <c r="Q40" i="3"/>
  <c r="E40" i="1"/>
  <c r="F40" i="1" s="1"/>
  <c r="G40" i="1" s="1"/>
  <c r="I40" i="1" s="1"/>
  <c r="Q40" i="1"/>
  <c r="C7" i="3"/>
  <c r="E39" i="3"/>
  <c r="F39" i="3"/>
  <c r="C8" i="3"/>
  <c r="C9" i="3"/>
  <c r="D9" i="3"/>
  <c r="F16" i="3"/>
  <c r="F17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D9" i="1"/>
  <c r="C9" i="1"/>
  <c r="F16" i="1"/>
  <c r="F17" i="1" s="1"/>
  <c r="E28" i="1"/>
  <c r="F28" i="1"/>
  <c r="E37" i="1"/>
  <c r="F37" i="1"/>
  <c r="E34" i="1"/>
  <c r="F34" i="1"/>
  <c r="Q21" i="1"/>
  <c r="Q22" i="1"/>
  <c r="Q23" i="1"/>
  <c r="Q24" i="1"/>
  <c r="Q26" i="1"/>
  <c r="Q27" i="1"/>
  <c r="Q28" i="1"/>
  <c r="Q29" i="1"/>
  <c r="Q30" i="1"/>
  <c r="Q31" i="1"/>
  <c r="Q32" i="1"/>
  <c r="Q33" i="1"/>
  <c r="Q35" i="1"/>
  <c r="Q36" i="1"/>
  <c r="Q37" i="1"/>
  <c r="Q39" i="1"/>
  <c r="G28" i="2"/>
  <c r="C28" i="2"/>
  <c r="G12" i="2"/>
  <c r="C12" i="2"/>
  <c r="G27" i="2"/>
  <c r="C27" i="2"/>
  <c r="E27" i="2"/>
  <c r="G26" i="2"/>
  <c r="C26" i="2"/>
  <c r="G25" i="2"/>
  <c r="C25" i="2"/>
  <c r="G11" i="2"/>
  <c r="C11" i="2"/>
  <c r="E11" i="2"/>
  <c r="G24" i="2"/>
  <c r="C24" i="2"/>
  <c r="G23" i="2"/>
  <c r="C23" i="2"/>
  <c r="G22" i="2"/>
  <c r="C22" i="2"/>
  <c r="G21" i="2"/>
  <c r="C21" i="2"/>
  <c r="G20" i="2"/>
  <c r="C20" i="2"/>
  <c r="G19" i="2"/>
  <c r="C19" i="2"/>
  <c r="E19" i="2"/>
  <c r="G18" i="2"/>
  <c r="C18" i="2"/>
  <c r="G17" i="2"/>
  <c r="C17" i="2"/>
  <c r="G16" i="2"/>
  <c r="C16" i="2"/>
  <c r="G15" i="2"/>
  <c r="C15" i="2"/>
  <c r="G14" i="2"/>
  <c r="C14" i="2"/>
  <c r="G13" i="2"/>
  <c r="C13" i="2"/>
  <c r="H28" i="2"/>
  <c r="D28" i="2"/>
  <c r="B28" i="2"/>
  <c r="A28" i="2"/>
  <c r="H12" i="2"/>
  <c r="D12" i="2"/>
  <c r="B12" i="2"/>
  <c r="A12" i="2"/>
  <c r="H27" i="2"/>
  <c r="D27" i="2"/>
  <c r="B27" i="2"/>
  <c r="A27" i="2"/>
  <c r="H26" i="2"/>
  <c r="D26" i="2"/>
  <c r="B26" i="2"/>
  <c r="A26" i="2"/>
  <c r="H25" i="2"/>
  <c r="D25" i="2"/>
  <c r="B25" i="2"/>
  <c r="A25" i="2"/>
  <c r="H11" i="2"/>
  <c r="D11" i="2"/>
  <c r="B11" i="2"/>
  <c r="A11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Q38" i="1"/>
  <c r="C17" i="1"/>
  <c r="Q34" i="1"/>
  <c r="C7" i="1"/>
  <c r="C8" i="1"/>
  <c r="Q25" i="1"/>
  <c r="E12" i="2"/>
  <c r="E18" i="2"/>
  <c r="E21" i="2"/>
  <c r="E25" i="2"/>
  <c r="G38" i="1"/>
  <c r="I38" i="1"/>
  <c r="G39" i="1"/>
  <c r="I39" i="1"/>
  <c r="E32" i="1"/>
  <c r="F32" i="1"/>
  <c r="E23" i="1"/>
  <c r="F23" i="1"/>
  <c r="E38" i="1"/>
  <c r="F38" i="1"/>
  <c r="E39" i="1"/>
  <c r="F39" i="1"/>
  <c r="G31" i="1"/>
  <c r="I31" i="1"/>
  <c r="E29" i="1"/>
  <c r="F29" i="1"/>
  <c r="G34" i="1"/>
  <c r="G37" i="1"/>
  <c r="I37" i="1"/>
  <c r="E35" i="1"/>
  <c r="F35" i="1"/>
  <c r="G35" i="1"/>
  <c r="I35" i="1"/>
  <c r="G28" i="1"/>
  <c r="I28" i="1"/>
  <c r="E26" i="1"/>
  <c r="F26" i="1"/>
  <c r="G26" i="1"/>
  <c r="I26" i="1"/>
  <c r="E38" i="3"/>
  <c r="F38" i="3"/>
  <c r="G38" i="3"/>
  <c r="I38" i="3"/>
  <c r="E36" i="3"/>
  <c r="F36" i="3"/>
  <c r="G36" i="3"/>
  <c r="I36" i="3"/>
  <c r="E34" i="3"/>
  <c r="F34" i="3"/>
  <c r="E32" i="3"/>
  <c r="F32" i="3"/>
  <c r="G32" i="3"/>
  <c r="I32" i="3"/>
  <c r="E30" i="3"/>
  <c r="F30" i="3"/>
  <c r="G30" i="3"/>
  <c r="I30" i="3"/>
  <c r="E28" i="3"/>
  <c r="F28" i="3"/>
  <c r="G28" i="3"/>
  <c r="I28" i="3"/>
  <c r="E26" i="3"/>
  <c r="F26" i="3"/>
  <c r="G26" i="3"/>
  <c r="I26" i="3"/>
  <c r="E24" i="3"/>
  <c r="F24" i="3"/>
  <c r="G24" i="3"/>
  <c r="I24" i="3"/>
  <c r="E22" i="3"/>
  <c r="F22" i="3"/>
  <c r="G22" i="3"/>
  <c r="I22" i="3"/>
  <c r="E31" i="1"/>
  <c r="F31" i="1"/>
  <c r="E22" i="1"/>
  <c r="F22" i="1"/>
  <c r="G22" i="1"/>
  <c r="I22" i="1"/>
  <c r="G25" i="1"/>
  <c r="H25" i="1"/>
  <c r="E33" i="1"/>
  <c r="E24" i="1"/>
  <c r="G34" i="3"/>
  <c r="G32" i="1"/>
  <c r="I32" i="1"/>
  <c r="E30" i="1"/>
  <c r="F30" i="1"/>
  <c r="G30" i="1"/>
  <c r="I30" i="1"/>
  <c r="G23" i="1"/>
  <c r="I23" i="1"/>
  <c r="E37" i="3"/>
  <c r="F37" i="3"/>
  <c r="G37" i="3"/>
  <c r="I37" i="3"/>
  <c r="E35" i="3"/>
  <c r="F35" i="3"/>
  <c r="G35" i="3"/>
  <c r="I35" i="3"/>
  <c r="E33" i="3"/>
  <c r="F33" i="3"/>
  <c r="G33" i="3"/>
  <c r="I33" i="3"/>
  <c r="E31" i="3"/>
  <c r="F31" i="3"/>
  <c r="G31" i="3"/>
  <c r="I31" i="3"/>
  <c r="E29" i="3"/>
  <c r="F29" i="3"/>
  <c r="G29" i="3"/>
  <c r="I29" i="3"/>
  <c r="E27" i="3"/>
  <c r="F27" i="3"/>
  <c r="G27" i="3"/>
  <c r="I27" i="3"/>
  <c r="E25" i="3"/>
  <c r="F25" i="3"/>
  <c r="G25" i="3"/>
  <c r="H25" i="3"/>
  <c r="E23" i="3"/>
  <c r="F23" i="3"/>
  <c r="G23" i="3"/>
  <c r="I23" i="3"/>
  <c r="E21" i="3"/>
  <c r="F21" i="3"/>
  <c r="G21" i="3"/>
  <c r="I21" i="3"/>
  <c r="G39" i="3"/>
  <c r="I39" i="3"/>
  <c r="E25" i="1"/>
  <c r="F25" i="1"/>
  <c r="E36" i="1"/>
  <c r="F36" i="1"/>
  <c r="G36" i="1"/>
  <c r="I36" i="1"/>
  <c r="G29" i="1"/>
  <c r="I29" i="1"/>
  <c r="E27" i="1"/>
  <c r="F27" i="1"/>
  <c r="G27" i="1"/>
  <c r="I27" i="1"/>
  <c r="E21" i="1"/>
  <c r="F21" i="1"/>
  <c r="G21" i="1"/>
  <c r="I21" i="1"/>
  <c r="E26" i="2"/>
  <c r="E20" i="2"/>
  <c r="I34" i="3"/>
  <c r="E22" i="2"/>
  <c r="E14" i="2"/>
  <c r="F24" i="1"/>
  <c r="G24" i="1"/>
  <c r="I24" i="1"/>
  <c r="E16" i="2"/>
  <c r="I34" i="1"/>
  <c r="E15" i="2"/>
  <c r="E23" i="2"/>
  <c r="E13" i="2"/>
  <c r="F33" i="1"/>
  <c r="G33" i="1"/>
  <c r="I33" i="1"/>
  <c r="E24" i="2"/>
  <c r="E17" i="2"/>
  <c r="E28" i="2"/>
  <c r="C11" i="3"/>
  <c r="C12" i="3"/>
  <c r="C12" i="1"/>
  <c r="C11" i="1"/>
  <c r="O40" i="3" l="1"/>
  <c r="O40" i="1"/>
  <c r="O36" i="1"/>
  <c r="C15" i="1"/>
  <c r="O34" i="1"/>
  <c r="O35" i="1"/>
  <c r="O37" i="1"/>
  <c r="O38" i="1"/>
  <c r="O39" i="1"/>
  <c r="C16" i="1"/>
  <c r="D18" i="1" s="1"/>
  <c r="C16" i="3"/>
  <c r="D18" i="3" s="1"/>
  <c r="O36" i="3"/>
  <c r="O38" i="3"/>
  <c r="O34" i="3"/>
  <c r="C15" i="3"/>
  <c r="O35" i="3"/>
  <c r="O39" i="3"/>
  <c r="O37" i="3"/>
  <c r="F18" i="3" l="1"/>
  <c r="F19" i="3" s="1"/>
  <c r="C18" i="3"/>
  <c r="C18" i="1"/>
  <c r="F18" i="1"/>
  <c r="F19" i="1" s="1"/>
</calcChain>
</file>

<file path=xl/sharedStrings.xml><?xml version="1.0" encoding="utf-8"?>
<sst xmlns="http://schemas.openxmlformats.org/spreadsheetml/2006/main" count="337" uniqueCount="130">
  <si>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</si>
  <si>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</si>
  <si>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</si>
  <si>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</si>
  <si>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</si>
  <si>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</si>
  <si>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</si>
  <si>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</si>
  <si>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</si>
  <si>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</si>
  <si>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</si>
  <si>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</si>
  <si>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</si>
  <si>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</si>
  <si>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</si>
  <si>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</si>
  <si>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</si>
  <si>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</si>
  <si>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</si>
  <si>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</si>
  <si>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</si>
  <si>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</si>
  <si>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</si>
  <si>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</si>
  <si>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</si>
  <si>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</si>
  <si>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</si>
  <si>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</si>
  <si>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</si>
  <si>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</si>
  <si>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</si>
  <si>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</si>
  <si>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Vandenbroere J</t>
  </si>
  <si>
    <t>BBSAG Bull.99</t>
  </si>
  <si>
    <t>B</t>
  </si>
  <si>
    <t># of data points:</t>
  </si>
  <si>
    <t>V745 Cyg / gsc 3585-2159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</si>
  <si>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</si>
  <si>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</si>
  <si>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</si>
  <si>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</si>
  <si>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</si>
  <si>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</si>
  <si>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</si>
  <si>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</si>
  <si>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</si>
  <si>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</si>
  <si>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</si>
  <si>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</si>
  <si>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2417476.28 </t>
  </si>
  <si>
    <t> 22.09.1906 18:43 </t>
  </si>
  <si>
    <t> 1.40 </t>
  </si>
  <si>
    <t>P </t>
  </si>
  <si>
    <t> P.Parenago </t>
  </si>
  <si>
    <t> PZ 5.212 </t>
  </si>
  <si>
    <t>2428104.279 </t>
  </si>
  <si>
    <t> 28.10.1935 18:41 </t>
  </si>
  <si>
    <t> 0.039 </t>
  </si>
  <si>
    <t> W.Wenzel </t>
  </si>
  <si>
    <t> AN 281.180 </t>
  </si>
  <si>
    <t>2428396.487 </t>
  </si>
  <si>
    <t> 15.08.1936 23:41 </t>
  </si>
  <si>
    <t> -0.001 </t>
  </si>
  <si>
    <t>2428451.280 </t>
  </si>
  <si>
    <t> 09.10.1936 18:43 </t>
  </si>
  <si>
    <t> -0.004 </t>
  </si>
  <si>
    <t>2428654.462 </t>
  </si>
  <si>
    <t> 30.04.1937 23:05 </t>
  </si>
  <si>
    <t> -0.025 </t>
  </si>
  <si>
    <t>2428718.465 </t>
  </si>
  <si>
    <t> 03.07.1937 23:09 </t>
  </si>
  <si>
    <t> 0.048 </t>
  </si>
  <si>
    <t>2428750.38 </t>
  </si>
  <si>
    <t> 04.08.1937 21:07 </t>
  </si>
  <si>
    <t> -0.00 </t>
  </si>
  <si>
    <t>2428775.440 </t>
  </si>
  <si>
    <t> 29.08.1937 22:33 </t>
  </si>
  <si>
    <t> -0.056 </t>
  </si>
  <si>
    <t>2429129.412 </t>
  </si>
  <si>
    <t> 18.08.1938 21:53 </t>
  </si>
  <si>
    <t> 0.022 </t>
  </si>
  <si>
    <t>2429161.356 </t>
  </si>
  <si>
    <t> 19.09.1938 20:32 </t>
  </si>
  <si>
    <t> 0.002 </t>
  </si>
  <si>
    <t>2429759.517 </t>
  </si>
  <si>
    <t> 10.05.1940 00:24 </t>
  </si>
  <si>
    <t> -0.031 </t>
  </si>
  <si>
    <t>2429880.562 </t>
  </si>
  <si>
    <t> 08.09.1940 01:29 </t>
  </si>
  <si>
    <t> 0.005 </t>
  </si>
  <si>
    <t>2448536.462 </t>
  </si>
  <si>
    <t> 06.10.1991 23:05 </t>
  </si>
  <si>
    <t> 0.008 </t>
  </si>
  <si>
    <t>V </t>
  </si>
  <si>
    <t> J.Vandenbroere </t>
  </si>
  <si>
    <t> BBS 99 </t>
  </si>
  <si>
    <t>2450714.445 </t>
  </si>
  <si>
    <t> 22.09.1997 22:40 </t>
  </si>
  <si>
    <t> -0.166 </t>
  </si>
  <si>
    <t> BBS 127 </t>
  </si>
  <si>
    <t>2451013.537 </t>
  </si>
  <si>
    <t> 19.07.1998 00:53 </t>
  </si>
  <si>
    <t> -0.171 </t>
  </si>
  <si>
    <t>2452253.284 </t>
  </si>
  <si>
    <t> 09.12.2001 18:48 </t>
  </si>
  <si>
    <t> -0.193 </t>
  </si>
  <si>
    <t>2457257.5331 </t>
  </si>
  <si>
    <t> 23.08.2015 00:47 </t>
  </si>
  <si>
    <t> -0.6834 </t>
  </si>
  <si>
    <t>C </t>
  </si>
  <si>
    <t>-I</t>
  </si>
  <si>
    <t> P.Frank </t>
  </si>
  <si>
    <t>BAVM 241 (=IBVS 6157) </t>
  </si>
  <si>
    <t>2457264.3819 </t>
  </si>
  <si>
    <t> 29.08.2015 21:09 </t>
  </si>
  <si>
    <t>12620</t>
  </si>
  <si>
    <t> -0.6842 </t>
  </si>
  <si>
    <t>II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</si>
  <si>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</si>
  <si>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</si>
  <si>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</si>
  <si>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</si>
  <si>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</si>
  <si>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</si>
  <si>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</si>
  <si>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</si>
  <si>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</si>
  <si>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Both sheets active</t>
  </si>
  <si>
    <t>JBAV, 76</t>
  </si>
  <si>
    <t>V0745 Cyg / gsc 3585-2159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</si>
</sst>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9" formatCode="0.00000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7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>
      <alignment vertical="top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4" fillId="2" borderId="11" xfId="7" applyFill="1" applyBorder="1" applyAlignment="1" applyProtection="1">
      <alignment horizontal="right" vertical="top"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3" borderId="0" xfId="0" applyFont="1" applyFill="1" applyAlignment="1"/>
    <xf numFmtId="0" fontId="17" fillId="0" borderId="0" xfId="0" applyFont="1">
      <alignment vertical="top"/>
    </xf>
    <xf numFmtId="0" fontId="18" fillId="0" borderId="0" xfId="0" applyFo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20" fillId="4" borderId="0" xfId="0" applyFont="1" applyFill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9" fontId="15" fillId="0" borderId="0" xfId="0" applyNumberFormat="1" applyFont="1" applyAlignment="1">
      <alignment horizontal="left"/>
    </xf>
    <xf numFmtId="179" fontId="8" fillId="0" borderId="0" xfId="0" applyNumberFormat="1" applyFont="1" applyAlignment="1">
      <alignment horizontal="left"/>
    </xf>
    <xf numFmtId="179" fontId="12" fillId="0" borderId="0" xfId="0" applyNumberFormat="1" applyFont="1" applyAlignment="1">
      <alignment horizontal="left"/>
    </xf>
    <xf numFmtId="179" fontId="23" fillId="0" borderId="0" xfId="0" applyNumberFormat="1" applyFont="1" applyAlignment="1" applyProtection="1">
      <alignment horizontal="left" vertical="center" wrapText="1"/>
      <protection locked="0"/>
    </xf>
    <xf numFmtId="179" fontId="0" fillId="0" borderId="0" xfId="0" applyNumberFormat="1" applyAlignment="1">
      <alignment horizontal="left"/>
    </xf>
    <xf numFmtId="0" fontId="15" fillId="0" borderId="0" xfId="0" applyFont="1" applyFill="1" applyAlignment="1"/>
    <xf numFmtId="0" fontId="24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V0745 Cyg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3-4D0B-BE91-940D25CA4D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0.26148799999646144</c:v>
                </c:pt>
                <c:pt idx="1">
                  <c:v>3.896800000075018E-2</c:v>
                </c:pt>
                <c:pt idx="2">
                  <c:v>-5.8399999761604704E-4</c:v>
                </c:pt>
                <c:pt idx="3">
                  <c:v>-4.0000000008149073E-3</c:v>
                </c:pt>
                <c:pt idx="5">
                  <c:v>-2.5376000001415377E-2</c:v>
                </c:pt>
                <c:pt idx="6">
                  <c:v>4.8472000002220739E-2</c:v>
                </c:pt>
                <c:pt idx="7">
                  <c:v>-1.1039999990316574E-3</c:v>
                </c:pt>
                <c:pt idx="8">
                  <c:v>-5.6128000000171596E-2</c:v>
                </c:pt>
                <c:pt idx="9">
                  <c:v>2.2351999999955297E-2</c:v>
                </c:pt>
                <c:pt idx="10">
                  <c:v>1.7760000009729993E-3</c:v>
                </c:pt>
                <c:pt idx="11">
                  <c:v>-3.1431999999767868E-2</c:v>
                </c:pt>
                <c:pt idx="12">
                  <c:v>4.8160000005736947E-3</c:v>
                </c:pt>
                <c:pt idx="13">
                  <c:v>8.3520000043790787E-3</c:v>
                </c:pt>
                <c:pt idx="14">
                  <c:v>-0.16618399999424582</c:v>
                </c:pt>
                <c:pt idx="15">
                  <c:v>-0.17128799999773037</c:v>
                </c:pt>
                <c:pt idx="16">
                  <c:v>-0.19319999999424908</c:v>
                </c:pt>
                <c:pt idx="17">
                  <c:v>-0.68342799999663839</c:v>
                </c:pt>
                <c:pt idx="18">
                  <c:v>-0.68417999999655876</c:v>
                </c:pt>
                <c:pt idx="19">
                  <c:v>-0.74524799999926472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C3-4D0B-BE91-940D25CA4D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C3-4D0B-BE91-940D25CA4D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C3-4D0B-BE91-940D25CA4D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C3-4D0B-BE91-940D25CA4D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C3-4D0B-BE91-940D25CA4D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0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C3-4D0B-BE91-940D25CA4D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-4807</c:v>
                </c:pt>
                <c:pt idx="1">
                  <c:v>-152</c:v>
                </c:pt>
                <c:pt idx="2">
                  <c:v>-24</c:v>
                </c:pt>
                <c:pt idx="3">
                  <c:v>0</c:v>
                </c:pt>
                <c:pt idx="4">
                  <c:v>0</c:v>
                </c:pt>
                <c:pt idx="5">
                  <c:v>89</c:v>
                </c:pt>
                <c:pt idx="6">
                  <c:v>117</c:v>
                </c:pt>
                <c:pt idx="7">
                  <c:v>131</c:v>
                </c:pt>
                <c:pt idx="8">
                  <c:v>142</c:v>
                </c:pt>
                <c:pt idx="9">
                  <c:v>297</c:v>
                </c:pt>
                <c:pt idx="10">
                  <c:v>311</c:v>
                </c:pt>
                <c:pt idx="11">
                  <c:v>573</c:v>
                </c:pt>
                <c:pt idx="12">
                  <c:v>626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3">
                  <c:v>1.2269315136784309E-2</c:v>
                </c:pt>
                <c:pt idx="14">
                  <c:v>-0.14762550410922359</c:v>
                </c:pt>
                <c:pt idx="15">
                  <c:v>-0.16958171094489116</c:v>
                </c:pt>
                <c:pt idx="16">
                  <c:v>-0.26059102630189579</c:v>
                </c:pt>
                <c:pt idx="17">
                  <c:v>-0.62798038037657999</c:v>
                </c:pt>
                <c:pt idx="18">
                  <c:v>-0.62848319427358001</c:v>
                </c:pt>
                <c:pt idx="19">
                  <c:v>-0.81318349910492271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C3-4D0B-BE91-940D25CA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63400"/>
        <c:axId val="1"/>
      </c:scatterChart>
      <c:valAx>
        <c:axId val="727163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63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V745 Cyg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4">
                  <c:v>1.141591999999946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07-426B-8649-58D08D1F176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0">
                  <c:v>1.4030799999964074</c:v>
                </c:pt>
                <c:pt idx="1">
                  <c:v>1.1805600000006962</c:v>
                </c:pt>
                <c:pt idx="2">
                  <c:v>1.1410080000023299</c:v>
                </c:pt>
                <c:pt idx="3">
                  <c:v>1.1375919999991311</c:v>
                </c:pt>
                <c:pt idx="5">
                  <c:v>1.1162159999985306</c:v>
                </c:pt>
                <c:pt idx="6">
                  <c:v>1.1900640000021667</c:v>
                </c:pt>
                <c:pt idx="7">
                  <c:v>1.1404880000009143</c:v>
                </c:pt>
                <c:pt idx="8">
                  <c:v>1.0854639999997744</c:v>
                </c:pt>
                <c:pt idx="9">
                  <c:v>1.1639439999999013</c:v>
                </c:pt>
                <c:pt idx="10">
                  <c:v>1.143368000000919</c:v>
                </c:pt>
                <c:pt idx="11">
                  <c:v>1.1101600000001781</c:v>
                </c:pt>
                <c:pt idx="12">
                  <c:v>1.1464080000005197</c:v>
                </c:pt>
                <c:pt idx="13">
                  <c:v>8.3520000043790787E-3</c:v>
                </c:pt>
                <c:pt idx="14">
                  <c:v>-0.16618399999424582</c:v>
                </c:pt>
                <c:pt idx="15">
                  <c:v>-0.17128799999773037</c:v>
                </c:pt>
                <c:pt idx="16">
                  <c:v>-0.19319999999424908</c:v>
                </c:pt>
                <c:pt idx="17">
                  <c:v>-0.68342799999663839</c:v>
                </c:pt>
                <c:pt idx="18">
                  <c:v>-0.68417999999655876</c:v>
                </c:pt>
                <c:pt idx="19">
                  <c:v>-0.74524799999926472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07-426B-8649-58D08D1F176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07-426B-8649-58D08D1F176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07-426B-8649-58D08D1F176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07-426B-8649-58D08D1F176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07-426B-8649-58D08D1F176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6.0000000000000001E-3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07-426B-8649-58D08D1F176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-4807.5</c:v>
                </c:pt>
                <c:pt idx="1">
                  <c:v>-152.5</c:v>
                </c:pt>
                <c:pt idx="2">
                  <c:v>-24.5</c:v>
                </c:pt>
                <c:pt idx="3">
                  <c:v>-0.5</c:v>
                </c:pt>
                <c:pt idx="4">
                  <c:v>-0.5</c:v>
                </c:pt>
                <c:pt idx="5">
                  <c:v>88.5</c:v>
                </c:pt>
                <c:pt idx="6">
                  <c:v>116.5</c:v>
                </c:pt>
                <c:pt idx="7">
                  <c:v>130.5</c:v>
                </c:pt>
                <c:pt idx="8">
                  <c:v>141.5</c:v>
                </c:pt>
                <c:pt idx="9">
                  <c:v>296.5</c:v>
                </c:pt>
                <c:pt idx="10">
                  <c:v>310.5</c:v>
                </c:pt>
                <c:pt idx="11">
                  <c:v>572.5</c:v>
                </c:pt>
                <c:pt idx="12">
                  <c:v>625.5</c:v>
                </c:pt>
                <c:pt idx="13">
                  <c:v>8797</c:v>
                </c:pt>
                <c:pt idx="14">
                  <c:v>9751</c:v>
                </c:pt>
                <c:pt idx="15">
                  <c:v>9882</c:v>
                </c:pt>
                <c:pt idx="16">
                  <c:v>10425</c:v>
                </c:pt>
                <c:pt idx="17">
                  <c:v>12617</c:v>
                </c:pt>
                <c:pt idx="18">
                  <c:v>12620</c:v>
                </c:pt>
                <c:pt idx="19">
                  <c:v>13722</c:v>
                </c:pt>
              </c:numCache>
            </c:numRef>
          </c:xVal>
          <c:yVal>
            <c:numRef>
              <c:f>'Active 2'!$O$21:$O$993</c:f>
              <c:numCache>
                <c:formatCode>General</c:formatCode>
                <c:ptCount val="973"/>
                <c:pt idx="13">
                  <c:v>1.2269315136784309E-2</c:v>
                </c:pt>
                <c:pt idx="14">
                  <c:v>-0.14762550410922359</c:v>
                </c:pt>
                <c:pt idx="15">
                  <c:v>-0.16958171094489116</c:v>
                </c:pt>
                <c:pt idx="16">
                  <c:v>-0.26059102630189579</c:v>
                </c:pt>
                <c:pt idx="17">
                  <c:v>-0.62798038037657999</c:v>
                </c:pt>
                <c:pt idx="18">
                  <c:v>-0.62848319427358001</c:v>
                </c:pt>
                <c:pt idx="19">
                  <c:v>-0.81318349910492271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07-426B-8649-58D08D1F1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55480"/>
        <c:axId val="1"/>
      </c:scatterChart>
      <c:valAx>
        <c:axId val="72715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5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14</xdr:col>
      <xdr:colOff>133350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051DD6-5745-B4E0-5E31-BC5A64291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14</xdr:col>
      <xdr:colOff>133350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3A30614-D242-73E9-E88C-A61928213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2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57" t="s">
        <v>129</v>
      </c>
    </row>
    <row r="2" spans="1:6">
      <c r="A2" t="s">
        <v>27</v>
      </c>
      <c r="F2" s="48" t="s">
        <v>127</v>
      </c>
    </row>
    <row r="4" spans="1:6">
      <c r="A4" s="8" t="s">
        <v>0</v>
      </c>
      <c r="C4" s="3">
        <v>28451.284</v>
      </c>
      <c r="D4" s="4">
        <v>2.2831839999999999</v>
      </c>
    </row>
    <row r="5" spans="1:6">
      <c r="A5" s="37" t="s">
        <v>119</v>
      </c>
      <c r="B5" s="19"/>
      <c r="C5" s="38">
        <v>-9.5</v>
      </c>
      <c r="D5" s="19" t="s">
        <v>120</v>
      </c>
    </row>
    <row r="6" spans="1:6">
      <c r="A6" s="8" t="s">
        <v>1</v>
      </c>
    </row>
    <row r="7" spans="1:6">
      <c r="A7" t="s">
        <v>2</v>
      </c>
      <c r="C7">
        <f>+C4</f>
        <v>28451.284</v>
      </c>
    </row>
    <row r="8" spans="1:6">
      <c r="A8" t="s">
        <v>3</v>
      </c>
      <c r="C8">
        <f>+D4</f>
        <v>2.2831839999999999</v>
      </c>
    </row>
    <row r="9" spans="1:6">
      <c r="A9" s="39" t="s">
        <v>121</v>
      </c>
      <c r="B9" s="40">
        <v>34</v>
      </c>
      <c r="C9" s="41" t="str">
        <f>"F"&amp;B9</f>
        <v>F34</v>
      </c>
      <c r="D9" s="42" t="str">
        <f>"G"&amp;B9</f>
        <v>G34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43">
        <f ca="1">INTERCEPT(INDIRECT($D$9):G978,INDIRECT($C$9):F978)</f>
        <v>1.4866872657731891</v>
      </c>
      <c r="D11" s="6"/>
    </row>
    <row r="12" spans="1:6">
      <c r="A12" t="s">
        <v>17</v>
      </c>
      <c r="C12" s="43">
        <f ca="1">SLOPE(INDIRECT($D$9):G978,INDIRECT($C$9):F978)</f>
        <v>-1.6760463233334147E-4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1">
        <f ca="1">(C7+C11)+(C8+C12)*INT(MAX(F21:F3533))</f>
        <v>59780.321664500894</v>
      </c>
      <c r="E15" s="44" t="s">
        <v>122</v>
      </c>
      <c r="F15" s="38">
        <v>1</v>
      </c>
    </row>
    <row r="16" spans="1:6">
      <c r="A16" s="8" t="s">
        <v>4</v>
      </c>
      <c r="C16" s="12">
        <f ca="1">+C8+C12</f>
        <v>2.2830163953676665</v>
      </c>
      <c r="E16" s="44" t="s">
        <v>123</v>
      </c>
      <c r="F16" s="45">
        <f ca="1">NOW()+15018.5+$C$5/24</f>
        <v>60170.79466446759</v>
      </c>
    </row>
    <row r="17" spans="1:17" ht="13.5" thickBot="1">
      <c r="A17" s="13" t="s">
        <v>35</v>
      </c>
      <c r="C17">
        <f>COUNT(C21:C2191)</f>
        <v>20</v>
      </c>
      <c r="E17" s="44" t="s">
        <v>124</v>
      </c>
      <c r="F17" s="45">
        <f ca="1">ROUND(2*(F16-$C$7)/$C$8,0)/2+F15</f>
        <v>13893.5</v>
      </c>
    </row>
    <row r="18" spans="1:17">
      <c r="A18" s="8" t="s">
        <v>5</v>
      </c>
      <c r="C18" s="3">
        <f ca="1">+C15</f>
        <v>59780.321664500894</v>
      </c>
      <c r="D18" s="4">
        <f ca="1">+C16</f>
        <v>2.2830163953676665</v>
      </c>
      <c r="E18" s="44" t="s">
        <v>125</v>
      </c>
      <c r="F18" s="42">
        <f ca="1">ROUND(2*(F16-$C$15)/$C$16,0)/2+F15</f>
        <v>172</v>
      </c>
    </row>
    <row r="19" spans="1:17" ht="13.5" thickTop="1">
      <c r="E19" s="44" t="s">
        <v>126</v>
      </c>
      <c r="F19" s="46">
        <f ca="1">+$C$15+$C$16*F18-15018.5-$C$5/24</f>
        <v>45154.896317837469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17">
      <c r="A21" s="32" t="s">
        <v>54</v>
      </c>
      <c r="B21" s="35" t="s">
        <v>117</v>
      </c>
      <c r="C21" s="33">
        <v>17476.28</v>
      </c>
      <c r="D21" s="34" t="s">
        <v>48</v>
      </c>
      <c r="E21">
        <f t="shared" ref="E21:E39" si="0">+(C21-C$7)/C$8</f>
        <v>-4806.8854722177457</v>
      </c>
      <c r="F21">
        <f t="shared" ref="F21:F37" si="1">ROUND(2*E21,0)/2</f>
        <v>-4807</v>
      </c>
      <c r="G21">
        <f t="shared" ref="G21:G39" si="2">+C21-(C$7+F21*C$8)</f>
        <v>0.26148799999646144</v>
      </c>
      <c r="I21">
        <f>+G21</f>
        <v>0.26148799999646144</v>
      </c>
      <c r="Q21" s="2">
        <f t="shared" ref="Q21:Q39" si="3">+C21-15018.5</f>
        <v>2457.7799999999988</v>
      </c>
    </row>
    <row r="22" spans="1:17">
      <c r="A22" s="32" t="s">
        <v>59</v>
      </c>
      <c r="B22" s="35" t="s">
        <v>118</v>
      </c>
      <c r="C22" s="33">
        <v>28104.278999999999</v>
      </c>
      <c r="D22" s="34" t="s">
        <v>48</v>
      </c>
      <c r="E22">
        <f t="shared" si="0"/>
        <v>-151.98293260639574</v>
      </c>
      <c r="F22">
        <f t="shared" si="1"/>
        <v>-152</v>
      </c>
      <c r="G22">
        <f t="shared" si="2"/>
        <v>3.896800000075018E-2</v>
      </c>
      <c r="I22">
        <f>+G22</f>
        <v>3.896800000075018E-2</v>
      </c>
      <c r="Q22" s="2">
        <f t="shared" si="3"/>
        <v>13085.778999999999</v>
      </c>
    </row>
    <row r="23" spans="1:17">
      <c r="A23" s="32" t="s">
        <v>59</v>
      </c>
      <c r="B23" s="35" t="s">
        <v>118</v>
      </c>
      <c r="C23" s="34">
        <v>28396.487000000001</v>
      </c>
      <c r="D23" s="34" t="s">
        <v>48</v>
      </c>
      <c r="E23">
        <f t="shared" si="0"/>
        <v>-24.000255783151363</v>
      </c>
      <c r="F23">
        <f t="shared" si="1"/>
        <v>-24</v>
      </c>
      <c r="G23">
        <f t="shared" si="2"/>
        <v>-5.8399999761604704E-4</v>
      </c>
      <c r="I23">
        <f>+G23</f>
        <v>-5.8399999761604704E-4</v>
      </c>
      <c r="Q23" s="2">
        <f t="shared" si="3"/>
        <v>13377.987000000001</v>
      </c>
    </row>
    <row r="24" spans="1:17">
      <c r="A24" s="32" t="s">
        <v>59</v>
      </c>
      <c r="B24" s="35" t="s">
        <v>118</v>
      </c>
      <c r="C24" s="34">
        <v>28451.279999999999</v>
      </c>
      <c r="D24" s="34" t="s">
        <v>48</v>
      </c>
      <c r="E24">
        <f t="shared" si="0"/>
        <v>-1.7519393972692992E-3</v>
      </c>
      <c r="F24">
        <f t="shared" si="1"/>
        <v>0</v>
      </c>
      <c r="G24">
        <f t="shared" si="2"/>
        <v>-4.0000000008149073E-3</v>
      </c>
      <c r="I24">
        <f>+G24</f>
        <v>-4.0000000008149073E-3</v>
      </c>
      <c r="Q24" s="2">
        <f t="shared" si="3"/>
        <v>13432.779999999999</v>
      </c>
    </row>
    <row r="25" spans="1:17">
      <c r="A25" t="s">
        <v>12</v>
      </c>
      <c r="C25" s="14">
        <v>28451.284</v>
      </c>
      <c r="D25" s="14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Q25" s="2">
        <f t="shared" si="3"/>
        <v>13432.784</v>
      </c>
    </row>
    <row r="26" spans="1:17">
      <c r="A26" s="32" t="s">
        <v>59</v>
      </c>
      <c r="B26" s="35" t="s">
        <v>118</v>
      </c>
      <c r="C26" s="34">
        <v>28654.462</v>
      </c>
      <c r="D26" s="34" t="s">
        <v>48</v>
      </c>
      <c r="E26">
        <f t="shared" si="0"/>
        <v>88.988885696465942</v>
      </c>
      <c r="F26">
        <f t="shared" si="1"/>
        <v>89</v>
      </c>
      <c r="G26">
        <f t="shared" si="2"/>
        <v>-2.5376000001415377E-2</v>
      </c>
      <c r="I26">
        <f t="shared" ref="I26:I39" si="4">+G26</f>
        <v>-2.5376000001415377E-2</v>
      </c>
      <c r="Q26" s="2">
        <f t="shared" si="3"/>
        <v>13635.962</v>
      </c>
    </row>
    <row r="27" spans="1:17">
      <c r="A27" s="32" t="s">
        <v>59</v>
      </c>
      <c r="B27" s="35" t="s">
        <v>118</v>
      </c>
      <c r="C27" s="34">
        <v>28718.465</v>
      </c>
      <c r="D27" s="34" t="s">
        <v>48</v>
      </c>
      <c r="E27">
        <f t="shared" si="0"/>
        <v>117.02123000161201</v>
      </c>
      <c r="F27">
        <f t="shared" si="1"/>
        <v>117</v>
      </c>
      <c r="G27">
        <f t="shared" si="2"/>
        <v>4.8472000002220739E-2</v>
      </c>
      <c r="I27">
        <f t="shared" si="4"/>
        <v>4.8472000002220739E-2</v>
      </c>
      <c r="Q27" s="2">
        <f t="shared" si="3"/>
        <v>13699.965</v>
      </c>
    </row>
    <row r="28" spans="1:17">
      <c r="A28" s="32" t="s">
        <v>54</v>
      </c>
      <c r="B28" s="35" t="s">
        <v>118</v>
      </c>
      <c r="C28" s="51">
        <v>28750.38</v>
      </c>
      <c r="D28" s="34" t="s">
        <v>48</v>
      </c>
      <c r="E28">
        <f t="shared" si="0"/>
        <v>130.99951646472707</v>
      </c>
      <c r="F28">
        <f t="shared" si="1"/>
        <v>131</v>
      </c>
      <c r="G28">
        <f t="shared" si="2"/>
        <v>-1.1039999990316574E-3</v>
      </c>
      <c r="I28">
        <f t="shared" si="4"/>
        <v>-1.1039999990316574E-3</v>
      </c>
      <c r="Q28" s="2">
        <f t="shared" si="3"/>
        <v>13731.880000000001</v>
      </c>
    </row>
    <row r="29" spans="1:17">
      <c r="A29" s="32" t="s">
        <v>59</v>
      </c>
      <c r="B29" s="35" t="s">
        <v>118</v>
      </c>
      <c r="C29" s="51">
        <v>28775.439999999999</v>
      </c>
      <c r="D29" s="34" t="s">
        <v>48</v>
      </c>
      <c r="E29">
        <f t="shared" si="0"/>
        <v>141.97541678638211</v>
      </c>
      <c r="F29">
        <f t="shared" si="1"/>
        <v>142</v>
      </c>
      <c r="G29">
        <f t="shared" si="2"/>
        <v>-5.6128000000171596E-2</v>
      </c>
      <c r="I29">
        <f t="shared" si="4"/>
        <v>-5.6128000000171596E-2</v>
      </c>
      <c r="Q29" s="2">
        <f t="shared" si="3"/>
        <v>13756.939999999999</v>
      </c>
    </row>
    <row r="30" spans="1:17">
      <c r="A30" s="32" t="s">
        <v>59</v>
      </c>
      <c r="B30" s="35" t="s">
        <v>118</v>
      </c>
      <c r="C30" s="51">
        <v>29129.412</v>
      </c>
      <c r="D30" s="34" t="s">
        <v>48</v>
      </c>
      <c r="E30">
        <f t="shared" si="0"/>
        <v>297.00978983735024</v>
      </c>
      <c r="F30">
        <f t="shared" si="1"/>
        <v>297</v>
      </c>
      <c r="G30">
        <f t="shared" si="2"/>
        <v>2.2351999999955297E-2</v>
      </c>
      <c r="I30">
        <f t="shared" si="4"/>
        <v>2.2351999999955297E-2</v>
      </c>
      <c r="Q30" s="2">
        <f t="shared" si="3"/>
        <v>14110.912</v>
      </c>
    </row>
    <row r="31" spans="1:17">
      <c r="A31" s="32" t="s">
        <v>59</v>
      </c>
      <c r="B31" s="35" t="s">
        <v>118</v>
      </c>
      <c r="C31" s="51">
        <v>29161.356</v>
      </c>
      <c r="D31" s="34" t="s">
        <v>48</v>
      </c>
      <c r="E31">
        <f t="shared" si="0"/>
        <v>311.00077786109227</v>
      </c>
      <c r="F31">
        <f t="shared" si="1"/>
        <v>311</v>
      </c>
      <c r="G31">
        <f t="shared" si="2"/>
        <v>1.7760000009729993E-3</v>
      </c>
      <c r="I31">
        <f t="shared" si="4"/>
        <v>1.7760000009729993E-3</v>
      </c>
      <c r="Q31" s="2">
        <f t="shared" si="3"/>
        <v>14142.856</v>
      </c>
    </row>
    <row r="32" spans="1:17">
      <c r="A32" s="32" t="s">
        <v>59</v>
      </c>
      <c r="B32" s="35" t="s">
        <v>118</v>
      </c>
      <c r="C32" s="51">
        <v>29759.517</v>
      </c>
      <c r="D32" s="34" t="s">
        <v>48</v>
      </c>
      <c r="E32">
        <f t="shared" si="0"/>
        <v>572.98623326021914</v>
      </c>
      <c r="F32">
        <f t="shared" si="1"/>
        <v>573</v>
      </c>
      <c r="G32">
        <f t="shared" si="2"/>
        <v>-3.1431999999767868E-2</v>
      </c>
      <c r="I32">
        <f t="shared" si="4"/>
        <v>-3.1431999999767868E-2</v>
      </c>
      <c r="Q32" s="2">
        <f t="shared" si="3"/>
        <v>14741.017</v>
      </c>
    </row>
    <row r="33" spans="1:31">
      <c r="A33" s="32" t="s">
        <v>59</v>
      </c>
      <c r="B33" s="35" t="s">
        <v>118</v>
      </c>
      <c r="C33" s="51">
        <v>29880.562000000002</v>
      </c>
      <c r="D33" s="34" t="s">
        <v>48</v>
      </c>
      <c r="E33">
        <f t="shared" si="0"/>
        <v>626.00210933503479</v>
      </c>
      <c r="F33">
        <f t="shared" si="1"/>
        <v>626</v>
      </c>
      <c r="G33">
        <f t="shared" si="2"/>
        <v>4.8160000005736947E-3</v>
      </c>
      <c r="I33">
        <f t="shared" si="4"/>
        <v>4.8160000005736947E-3</v>
      </c>
      <c r="Q33" s="2">
        <f t="shared" si="3"/>
        <v>14862.062000000002</v>
      </c>
    </row>
    <row r="34" spans="1:31">
      <c r="A34" t="s">
        <v>33</v>
      </c>
      <c r="C34" s="52">
        <v>48536.462</v>
      </c>
      <c r="D34" s="14">
        <v>6.0000000000000001E-3</v>
      </c>
      <c r="E34">
        <f t="shared" si="0"/>
        <v>8797.0036580494616</v>
      </c>
      <c r="F34">
        <f t="shared" si="1"/>
        <v>8797</v>
      </c>
      <c r="G34">
        <f t="shared" si="2"/>
        <v>8.3520000043790787E-3</v>
      </c>
      <c r="I34">
        <f t="shared" si="4"/>
        <v>8.3520000043790787E-3</v>
      </c>
      <c r="O34">
        <f t="shared" ref="O34:O39" ca="1" si="5">+C$11+C$12*F34</f>
        <v>1.2269315136784309E-2</v>
      </c>
      <c r="Q34" s="2">
        <f t="shared" si="3"/>
        <v>33517.962</v>
      </c>
      <c r="AA34">
        <v>9</v>
      </c>
      <c r="AC34" t="s">
        <v>32</v>
      </c>
      <c r="AE34" t="s">
        <v>34</v>
      </c>
    </row>
    <row r="35" spans="1:31">
      <c r="A35" s="32" t="s">
        <v>99</v>
      </c>
      <c r="B35" s="35" t="s">
        <v>118</v>
      </c>
      <c r="C35" s="51">
        <v>50714.445</v>
      </c>
      <c r="D35" s="34" t="s">
        <v>48</v>
      </c>
      <c r="E35">
        <f t="shared" si="0"/>
        <v>9750.9272139258155</v>
      </c>
      <c r="F35">
        <f t="shared" si="1"/>
        <v>9751</v>
      </c>
      <c r="G35">
        <f t="shared" si="2"/>
        <v>-0.16618399999424582</v>
      </c>
      <c r="I35">
        <f t="shared" si="4"/>
        <v>-0.16618399999424582</v>
      </c>
      <c r="O35">
        <f t="shared" ca="1" si="5"/>
        <v>-0.14762550410922359</v>
      </c>
      <c r="Q35" s="2">
        <f t="shared" si="3"/>
        <v>35695.945</v>
      </c>
    </row>
    <row r="36" spans="1:31">
      <c r="A36" s="32" t="s">
        <v>99</v>
      </c>
      <c r="B36" s="35" t="s">
        <v>118</v>
      </c>
      <c r="C36" s="51">
        <v>51013.536999999997</v>
      </c>
      <c r="D36" s="34" t="s">
        <v>48</v>
      </c>
      <c r="E36">
        <f t="shared" si="0"/>
        <v>9881.9249784511449</v>
      </c>
      <c r="F36">
        <f t="shared" si="1"/>
        <v>9882</v>
      </c>
      <c r="G36">
        <f t="shared" si="2"/>
        <v>-0.17128799999773037</v>
      </c>
      <c r="I36">
        <f t="shared" si="4"/>
        <v>-0.17128799999773037</v>
      </c>
      <c r="O36">
        <f t="shared" ca="1" si="5"/>
        <v>-0.16958171094489116</v>
      </c>
      <c r="Q36" s="2">
        <f t="shared" si="3"/>
        <v>35995.036999999997</v>
      </c>
    </row>
    <row r="37" spans="1:31">
      <c r="A37" s="32" t="s">
        <v>99</v>
      </c>
      <c r="B37" s="35" t="s">
        <v>118</v>
      </c>
      <c r="C37" s="51">
        <v>52253.284</v>
      </c>
      <c r="D37" s="34" t="s">
        <v>48</v>
      </c>
      <c r="E37">
        <f t="shared" si="0"/>
        <v>10424.91538132713</v>
      </c>
      <c r="F37">
        <f t="shared" si="1"/>
        <v>10425</v>
      </c>
      <c r="G37">
        <f t="shared" si="2"/>
        <v>-0.19319999999424908</v>
      </c>
      <c r="I37">
        <f t="shared" si="4"/>
        <v>-0.19319999999424908</v>
      </c>
      <c r="O37">
        <f t="shared" ca="1" si="5"/>
        <v>-0.26059102630189579</v>
      </c>
      <c r="Q37" s="2">
        <f t="shared" si="3"/>
        <v>37234.784</v>
      </c>
    </row>
    <row r="38" spans="1:31">
      <c r="A38" s="16" t="s">
        <v>37</v>
      </c>
      <c r="B38" s="17"/>
      <c r="C38" s="53">
        <v>57257.533100000001</v>
      </c>
      <c r="D38" s="16">
        <v>1E-4</v>
      </c>
      <c r="E38">
        <f t="shared" si="0"/>
        <v>12616.700668890462</v>
      </c>
      <c r="F38" s="36">
        <f>ROUND(2*E38,0)/2+0.5</f>
        <v>12617</v>
      </c>
      <c r="G38">
        <f t="shared" si="2"/>
        <v>-0.68342799999663839</v>
      </c>
      <c r="I38">
        <f t="shared" si="4"/>
        <v>-0.68342799999663839</v>
      </c>
      <c r="O38">
        <f t="shared" ca="1" si="5"/>
        <v>-0.62798038037657999</v>
      </c>
      <c r="Q38" s="2">
        <f t="shared" si="3"/>
        <v>42239.033100000001</v>
      </c>
    </row>
    <row r="39" spans="1:31">
      <c r="A39" s="32" t="s">
        <v>37</v>
      </c>
      <c r="B39" s="35" t="s">
        <v>118</v>
      </c>
      <c r="C39" s="51">
        <v>57264.3819</v>
      </c>
      <c r="D39" s="34" t="s">
        <v>48</v>
      </c>
      <c r="E39">
        <f t="shared" si="0"/>
        <v>12619.700339525856</v>
      </c>
      <c r="F39" s="36">
        <f>ROUND(2*E39,0)/2+0.5</f>
        <v>12620</v>
      </c>
      <c r="G39">
        <f t="shared" si="2"/>
        <v>-0.68417999999655876</v>
      </c>
      <c r="I39">
        <f t="shared" si="4"/>
        <v>-0.68417999999655876</v>
      </c>
      <c r="O39">
        <f t="shared" ca="1" si="5"/>
        <v>-0.62848319427358001</v>
      </c>
      <c r="Q39" s="2">
        <f t="shared" si="3"/>
        <v>42245.8819</v>
      </c>
    </row>
    <row r="40" spans="1:31">
      <c r="A40" s="49" t="s">
        <v>128</v>
      </c>
      <c r="B40" s="50" t="s">
        <v>118</v>
      </c>
      <c r="C40" s="54">
        <v>59780.389600000002</v>
      </c>
      <c r="D40" s="49">
        <v>3.5000000000000001E-3</v>
      </c>
      <c r="E40">
        <f t="shared" ref="E40" si="6">+(C40-C$7)/C$8</f>
        <v>13721.673592667084</v>
      </c>
      <c r="F40" s="36">
        <f>ROUND(2*E40,0)/2+0.5</f>
        <v>13722</v>
      </c>
      <c r="G40">
        <f t="shared" ref="G40" si="7">+C40-(C$7+F40*C$8)</f>
        <v>-0.74524799999926472</v>
      </c>
      <c r="I40">
        <f t="shared" ref="I40" si="8">+G40</f>
        <v>-0.74524799999926472</v>
      </c>
      <c r="O40">
        <f t="shared" ref="O40" ca="1" si="9">+C$11+C$12*F40</f>
        <v>-0.81318349910492271</v>
      </c>
      <c r="Q40" s="2">
        <f t="shared" ref="Q40" si="10">+C40-15018.5</f>
        <v>44761.889600000002</v>
      </c>
    </row>
    <row r="41" spans="1:31">
      <c r="B41" s="6"/>
      <c r="C41" s="55"/>
      <c r="D41" s="14"/>
    </row>
    <row r="42" spans="1:31">
      <c r="C42" s="55"/>
      <c r="D42" s="14"/>
    </row>
    <row r="43" spans="1:31">
      <c r="C43" s="55"/>
      <c r="D43" s="14"/>
    </row>
    <row r="44" spans="1:31">
      <c r="C44" s="55"/>
      <c r="D44" s="14"/>
    </row>
    <row r="45" spans="1:31">
      <c r="C45" s="55"/>
      <c r="D45" s="14"/>
    </row>
    <row r="46" spans="1:31">
      <c r="C46" s="55"/>
      <c r="D46" s="14"/>
    </row>
    <row r="47" spans="1:31">
      <c r="C47" s="14"/>
      <c r="D47" s="14"/>
    </row>
    <row r="48" spans="1:31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2129"/>
  <sheetViews>
    <sheetView workbookViewId="0">
      <selection activeCell="E13" sqref="E1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27</v>
      </c>
      <c r="F2" s="48" t="s">
        <v>127</v>
      </c>
    </row>
    <row r="4" spans="1:6">
      <c r="A4" s="8" t="s">
        <v>0</v>
      </c>
      <c r="C4" s="3">
        <v>28451.284</v>
      </c>
      <c r="D4" s="4">
        <v>2.2831839999999999</v>
      </c>
    </row>
    <row r="5" spans="1:6">
      <c r="A5" s="37" t="s">
        <v>119</v>
      </c>
      <c r="B5" s="19"/>
      <c r="C5" s="38">
        <v>-9.5</v>
      </c>
      <c r="D5" s="19" t="s">
        <v>120</v>
      </c>
    </row>
    <row r="6" spans="1:6">
      <c r="A6" s="8" t="s">
        <v>1</v>
      </c>
    </row>
    <row r="7" spans="1:6">
      <c r="A7" t="s">
        <v>2</v>
      </c>
      <c r="C7">
        <f>+C4</f>
        <v>28451.284</v>
      </c>
    </row>
    <row r="8" spans="1:6">
      <c r="A8" t="s">
        <v>3</v>
      </c>
      <c r="C8">
        <f>+D4</f>
        <v>2.2831839999999999</v>
      </c>
    </row>
    <row r="9" spans="1:6">
      <c r="A9" s="39" t="s">
        <v>121</v>
      </c>
      <c r="B9" s="40">
        <v>34</v>
      </c>
      <c r="C9" s="41" t="str">
        <f>"F"&amp;B9</f>
        <v>F34</v>
      </c>
      <c r="D9" s="42" t="str">
        <f>"G"&amp;B9</f>
        <v>G34</v>
      </c>
    </row>
    <row r="10" spans="1:6" ht="13.5" thickBot="1">
      <c r="C10" s="7" t="s">
        <v>22</v>
      </c>
      <c r="D10" s="7" t="s">
        <v>23</v>
      </c>
    </row>
    <row r="11" spans="1:6">
      <c r="A11" t="s">
        <v>16</v>
      </c>
      <c r="C11" s="43">
        <f ca="1">INTERCEPT(INDIRECT($D$9):G978,INDIRECT($C$9):F978)</f>
        <v>1.4866872657731891</v>
      </c>
      <c r="D11" s="6"/>
    </row>
    <row r="12" spans="1:6">
      <c r="A12" t="s">
        <v>17</v>
      </c>
      <c r="C12" s="43">
        <f ca="1">SLOPE(INDIRECT($D$9):G978,INDIRECT($C$9):F978)</f>
        <v>-1.6760463233334147E-4</v>
      </c>
      <c r="D12" s="6"/>
    </row>
    <row r="13" spans="1:6">
      <c r="A13" t="s">
        <v>21</v>
      </c>
      <c r="C13" s="6" t="s">
        <v>14</v>
      </c>
      <c r="D13" s="6"/>
    </row>
    <row r="14" spans="1:6">
      <c r="A14" t="s">
        <v>26</v>
      </c>
    </row>
    <row r="15" spans="1:6">
      <c r="A15" s="5" t="s">
        <v>18</v>
      </c>
      <c r="C15" s="11">
        <f ca="1">(C7+C11)+(C8+C12)*INT(MAX(F21:F3533))</f>
        <v>59780.321664500894</v>
      </c>
      <c r="E15" s="44" t="s">
        <v>122</v>
      </c>
      <c r="F15" s="38">
        <v>1</v>
      </c>
    </row>
    <row r="16" spans="1:6">
      <c r="A16" s="8" t="s">
        <v>4</v>
      </c>
      <c r="C16" s="12">
        <f ca="1">+C8+C12</f>
        <v>2.2830163953676665</v>
      </c>
      <c r="E16" s="44" t="s">
        <v>123</v>
      </c>
      <c r="F16" s="45">
        <f ca="1">NOW()+15018.5+$C$5/24</f>
        <v>60170.79466446759</v>
      </c>
    </row>
    <row r="17" spans="1:17" ht="13.5" thickBot="1">
      <c r="A17" s="13" t="s">
        <v>35</v>
      </c>
      <c r="C17">
        <f>COUNT(C21:C2191)</f>
        <v>20</v>
      </c>
      <c r="E17" s="44" t="s">
        <v>124</v>
      </c>
      <c r="F17" s="45">
        <f ca="1">ROUND(2*(F16-$C$7)/$C$8,0)/2+F15</f>
        <v>13893.5</v>
      </c>
    </row>
    <row r="18" spans="1:17">
      <c r="A18" s="8" t="s">
        <v>5</v>
      </c>
      <c r="C18" s="3">
        <f ca="1">+C15</f>
        <v>59780.321664500894</v>
      </c>
      <c r="D18" s="4">
        <f ca="1">+C16</f>
        <v>2.2830163953676665</v>
      </c>
      <c r="E18" s="44" t="s">
        <v>125</v>
      </c>
      <c r="F18" s="42">
        <f ca="1">ROUND(2*(F16-$C$15)/$C$16,0)/2+F15</f>
        <v>172</v>
      </c>
    </row>
    <row r="19" spans="1:17" ht="13.5" thickTop="1">
      <c r="E19" s="44" t="s">
        <v>126</v>
      </c>
      <c r="F19" s="46">
        <f ca="1">+$C$15+$C$16*F18-15018.5-$C$5/24</f>
        <v>45154.896317837469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31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17">
      <c r="A21" s="32" t="s">
        <v>54</v>
      </c>
      <c r="B21" s="35" t="s">
        <v>117</v>
      </c>
      <c r="C21" s="33">
        <v>17476.28</v>
      </c>
      <c r="D21" s="34" t="s">
        <v>48</v>
      </c>
      <c r="E21">
        <f t="shared" ref="E21:E39" si="0">+(C21-C$7)/C$8</f>
        <v>-4806.8854722177457</v>
      </c>
      <c r="F21" s="47">
        <f>ROUND(2*E21,0)/2-0.5</f>
        <v>-4807.5</v>
      </c>
      <c r="G21">
        <f t="shared" ref="G21:G39" si="1">+C21-(C$7+F21*C$8)</f>
        <v>1.4030799999964074</v>
      </c>
      <c r="I21">
        <f>+G21</f>
        <v>1.4030799999964074</v>
      </c>
      <c r="Q21" s="2">
        <f t="shared" ref="Q21:Q39" si="2">+C21-15018.5</f>
        <v>2457.7799999999988</v>
      </c>
    </row>
    <row r="22" spans="1:17">
      <c r="A22" s="32" t="s">
        <v>59</v>
      </c>
      <c r="B22" s="35" t="s">
        <v>118</v>
      </c>
      <c r="C22" s="33">
        <v>28104.278999999999</v>
      </c>
      <c r="D22" s="34" t="s">
        <v>48</v>
      </c>
      <c r="E22">
        <f t="shared" si="0"/>
        <v>-151.98293260639574</v>
      </c>
      <c r="F22" s="47">
        <f t="shared" ref="F22:F33" si="3">ROUND(2*E22,0)/2-0.5</f>
        <v>-152.5</v>
      </c>
      <c r="G22">
        <f t="shared" si="1"/>
        <v>1.1805600000006962</v>
      </c>
      <c r="I22">
        <f>+G22</f>
        <v>1.1805600000006962</v>
      </c>
      <c r="Q22" s="2">
        <f t="shared" si="2"/>
        <v>13085.778999999999</v>
      </c>
    </row>
    <row r="23" spans="1:17">
      <c r="A23" s="32" t="s">
        <v>59</v>
      </c>
      <c r="B23" s="35" t="s">
        <v>118</v>
      </c>
      <c r="C23" s="34">
        <v>28396.487000000001</v>
      </c>
      <c r="D23" s="34" t="s">
        <v>48</v>
      </c>
      <c r="E23">
        <f t="shared" si="0"/>
        <v>-24.000255783151363</v>
      </c>
      <c r="F23" s="47">
        <f t="shared" si="3"/>
        <v>-24.5</v>
      </c>
      <c r="G23">
        <f t="shared" si="1"/>
        <v>1.1410080000023299</v>
      </c>
      <c r="I23">
        <f>+G23</f>
        <v>1.1410080000023299</v>
      </c>
      <c r="Q23" s="2">
        <f t="shared" si="2"/>
        <v>13377.987000000001</v>
      </c>
    </row>
    <row r="24" spans="1:17">
      <c r="A24" s="32" t="s">
        <v>59</v>
      </c>
      <c r="B24" s="35" t="s">
        <v>118</v>
      </c>
      <c r="C24" s="34">
        <v>28451.279999999999</v>
      </c>
      <c r="D24" s="34" t="s">
        <v>48</v>
      </c>
      <c r="E24">
        <f t="shared" si="0"/>
        <v>-1.7519393972692992E-3</v>
      </c>
      <c r="F24" s="47">
        <f t="shared" si="3"/>
        <v>-0.5</v>
      </c>
      <c r="G24">
        <f t="shared" si="1"/>
        <v>1.1375919999991311</v>
      </c>
      <c r="I24">
        <f>+G24</f>
        <v>1.1375919999991311</v>
      </c>
      <c r="Q24" s="2">
        <f t="shared" si="2"/>
        <v>13432.779999999999</v>
      </c>
    </row>
    <row r="25" spans="1:17">
      <c r="A25" t="s">
        <v>12</v>
      </c>
      <c r="C25" s="14">
        <v>28451.284</v>
      </c>
      <c r="D25" s="14" t="s">
        <v>14</v>
      </c>
      <c r="E25">
        <f t="shared" si="0"/>
        <v>0</v>
      </c>
      <c r="F25" s="47">
        <f t="shared" si="3"/>
        <v>-0.5</v>
      </c>
      <c r="G25">
        <f t="shared" si="1"/>
        <v>1.141591999999946</v>
      </c>
      <c r="H25">
        <f>+G25</f>
        <v>1.141591999999946</v>
      </c>
      <c r="Q25" s="2">
        <f t="shared" si="2"/>
        <v>13432.784</v>
      </c>
    </row>
    <row r="26" spans="1:17">
      <c r="A26" s="32" t="s">
        <v>59</v>
      </c>
      <c r="B26" s="35" t="s">
        <v>118</v>
      </c>
      <c r="C26" s="34">
        <v>28654.462</v>
      </c>
      <c r="D26" s="34" t="s">
        <v>48</v>
      </c>
      <c r="E26">
        <f t="shared" si="0"/>
        <v>88.988885696465942</v>
      </c>
      <c r="F26" s="47">
        <f t="shared" si="3"/>
        <v>88.5</v>
      </c>
      <c r="G26">
        <f t="shared" si="1"/>
        <v>1.1162159999985306</v>
      </c>
      <c r="I26">
        <f t="shared" ref="I26:I39" si="4">+G26</f>
        <v>1.1162159999985306</v>
      </c>
      <c r="Q26" s="2">
        <f t="shared" si="2"/>
        <v>13635.962</v>
      </c>
    </row>
    <row r="27" spans="1:17">
      <c r="A27" s="32" t="s">
        <v>59</v>
      </c>
      <c r="B27" s="35" t="s">
        <v>118</v>
      </c>
      <c r="C27" s="34">
        <v>28718.465</v>
      </c>
      <c r="D27" s="34" t="s">
        <v>48</v>
      </c>
      <c r="E27">
        <f t="shared" si="0"/>
        <v>117.02123000161201</v>
      </c>
      <c r="F27" s="47">
        <f t="shared" si="3"/>
        <v>116.5</v>
      </c>
      <c r="G27">
        <f t="shared" si="1"/>
        <v>1.1900640000021667</v>
      </c>
      <c r="I27">
        <f t="shared" si="4"/>
        <v>1.1900640000021667</v>
      </c>
      <c r="Q27" s="2">
        <f t="shared" si="2"/>
        <v>13699.965</v>
      </c>
    </row>
    <row r="28" spans="1:17">
      <c r="A28" s="32" t="s">
        <v>54</v>
      </c>
      <c r="B28" s="35" t="s">
        <v>118</v>
      </c>
      <c r="C28" s="34">
        <v>28750.38</v>
      </c>
      <c r="D28" s="34" t="s">
        <v>48</v>
      </c>
      <c r="E28">
        <f t="shared" si="0"/>
        <v>130.99951646472707</v>
      </c>
      <c r="F28" s="47">
        <f t="shared" si="3"/>
        <v>130.5</v>
      </c>
      <c r="G28">
        <f t="shared" si="1"/>
        <v>1.1404880000009143</v>
      </c>
      <c r="I28">
        <f t="shared" si="4"/>
        <v>1.1404880000009143</v>
      </c>
      <c r="Q28" s="2">
        <f t="shared" si="2"/>
        <v>13731.880000000001</v>
      </c>
    </row>
    <row r="29" spans="1:17">
      <c r="A29" s="32" t="s">
        <v>59</v>
      </c>
      <c r="B29" s="35" t="s">
        <v>118</v>
      </c>
      <c r="C29" s="34">
        <v>28775.439999999999</v>
      </c>
      <c r="D29" s="34" t="s">
        <v>48</v>
      </c>
      <c r="E29">
        <f t="shared" si="0"/>
        <v>141.97541678638211</v>
      </c>
      <c r="F29" s="47">
        <f t="shared" si="3"/>
        <v>141.5</v>
      </c>
      <c r="G29">
        <f t="shared" si="1"/>
        <v>1.0854639999997744</v>
      </c>
      <c r="I29">
        <f t="shared" si="4"/>
        <v>1.0854639999997744</v>
      </c>
      <c r="Q29" s="2">
        <f t="shared" si="2"/>
        <v>13756.939999999999</v>
      </c>
    </row>
    <row r="30" spans="1:17">
      <c r="A30" s="32" t="s">
        <v>59</v>
      </c>
      <c r="B30" s="35" t="s">
        <v>118</v>
      </c>
      <c r="C30" s="34">
        <v>29129.412</v>
      </c>
      <c r="D30" s="34" t="s">
        <v>48</v>
      </c>
      <c r="E30">
        <f t="shared" si="0"/>
        <v>297.00978983735024</v>
      </c>
      <c r="F30" s="47">
        <f t="shared" si="3"/>
        <v>296.5</v>
      </c>
      <c r="G30">
        <f t="shared" si="1"/>
        <v>1.1639439999999013</v>
      </c>
      <c r="I30">
        <f t="shared" si="4"/>
        <v>1.1639439999999013</v>
      </c>
      <c r="Q30" s="2">
        <f t="shared" si="2"/>
        <v>14110.912</v>
      </c>
    </row>
    <row r="31" spans="1:17">
      <c r="A31" s="32" t="s">
        <v>59</v>
      </c>
      <c r="B31" s="35" t="s">
        <v>118</v>
      </c>
      <c r="C31" s="34">
        <v>29161.356</v>
      </c>
      <c r="D31" s="34" t="s">
        <v>48</v>
      </c>
      <c r="E31">
        <f t="shared" si="0"/>
        <v>311.00077786109227</v>
      </c>
      <c r="F31" s="47">
        <f t="shared" si="3"/>
        <v>310.5</v>
      </c>
      <c r="G31">
        <f t="shared" si="1"/>
        <v>1.143368000000919</v>
      </c>
      <c r="I31">
        <f t="shared" si="4"/>
        <v>1.143368000000919</v>
      </c>
      <c r="Q31" s="2">
        <f t="shared" si="2"/>
        <v>14142.856</v>
      </c>
    </row>
    <row r="32" spans="1:17">
      <c r="A32" s="32" t="s">
        <v>59</v>
      </c>
      <c r="B32" s="35" t="s">
        <v>118</v>
      </c>
      <c r="C32" s="34">
        <v>29759.517</v>
      </c>
      <c r="D32" s="34" t="s">
        <v>48</v>
      </c>
      <c r="E32">
        <f t="shared" si="0"/>
        <v>572.98623326021914</v>
      </c>
      <c r="F32" s="47">
        <f t="shared" si="3"/>
        <v>572.5</v>
      </c>
      <c r="G32">
        <f t="shared" si="1"/>
        <v>1.1101600000001781</v>
      </c>
      <c r="I32">
        <f t="shared" si="4"/>
        <v>1.1101600000001781</v>
      </c>
      <c r="Q32" s="2">
        <f t="shared" si="2"/>
        <v>14741.017</v>
      </c>
    </row>
    <row r="33" spans="1:31">
      <c r="A33" s="32" t="s">
        <v>59</v>
      </c>
      <c r="B33" s="35" t="s">
        <v>118</v>
      </c>
      <c r="C33" s="34">
        <v>29880.562000000002</v>
      </c>
      <c r="D33" s="34" t="s">
        <v>48</v>
      </c>
      <c r="E33">
        <f t="shared" si="0"/>
        <v>626.00210933503479</v>
      </c>
      <c r="F33" s="47">
        <f t="shared" si="3"/>
        <v>625.5</v>
      </c>
      <c r="G33">
        <f t="shared" si="1"/>
        <v>1.1464080000005197</v>
      </c>
      <c r="I33">
        <f t="shared" si="4"/>
        <v>1.1464080000005197</v>
      </c>
      <c r="Q33" s="2">
        <f t="shared" si="2"/>
        <v>14862.062000000002</v>
      </c>
    </row>
    <row r="34" spans="1:31">
      <c r="A34" t="s">
        <v>33</v>
      </c>
      <c r="C34" s="15">
        <v>48536.462</v>
      </c>
      <c r="D34" s="14">
        <v>6.0000000000000001E-3</v>
      </c>
      <c r="E34">
        <f t="shared" si="0"/>
        <v>8797.0036580494616</v>
      </c>
      <c r="F34">
        <f>ROUND(2*E34,0)/2</f>
        <v>8797</v>
      </c>
      <c r="G34">
        <f t="shared" si="1"/>
        <v>8.3520000043790787E-3</v>
      </c>
      <c r="I34">
        <f t="shared" si="4"/>
        <v>8.3520000043790787E-3</v>
      </c>
      <c r="O34">
        <f t="shared" ref="O34:O39" ca="1" si="5">+C$11+C$12*F34</f>
        <v>1.2269315136784309E-2</v>
      </c>
      <c r="Q34" s="2">
        <f t="shared" si="2"/>
        <v>33517.962</v>
      </c>
      <c r="AA34">
        <v>9</v>
      </c>
      <c r="AC34" t="s">
        <v>32</v>
      </c>
      <c r="AE34" t="s">
        <v>34</v>
      </c>
    </row>
    <row r="35" spans="1:31">
      <c r="A35" s="32" t="s">
        <v>99</v>
      </c>
      <c r="B35" s="35" t="s">
        <v>118</v>
      </c>
      <c r="C35" s="34">
        <v>50714.445</v>
      </c>
      <c r="D35" s="34" t="s">
        <v>48</v>
      </c>
      <c r="E35">
        <f t="shared" si="0"/>
        <v>9750.9272139258155</v>
      </c>
      <c r="F35">
        <f>ROUND(2*E35,0)/2</f>
        <v>9751</v>
      </c>
      <c r="G35">
        <f t="shared" si="1"/>
        <v>-0.16618399999424582</v>
      </c>
      <c r="I35">
        <f t="shared" si="4"/>
        <v>-0.16618399999424582</v>
      </c>
      <c r="O35">
        <f t="shared" ca="1" si="5"/>
        <v>-0.14762550410922359</v>
      </c>
      <c r="Q35" s="2">
        <f t="shared" si="2"/>
        <v>35695.945</v>
      </c>
    </row>
    <row r="36" spans="1:31">
      <c r="A36" s="32" t="s">
        <v>99</v>
      </c>
      <c r="B36" s="35" t="s">
        <v>118</v>
      </c>
      <c r="C36" s="34">
        <v>51013.536999999997</v>
      </c>
      <c r="D36" s="34" t="s">
        <v>48</v>
      </c>
      <c r="E36">
        <f t="shared" si="0"/>
        <v>9881.9249784511449</v>
      </c>
      <c r="F36">
        <f>ROUND(2*E36,0)/2</f>
        <v>9882</v>
      </c>
      <c r="G36">
        <f t="shared" si="1"/>
        <v>-0.17128799999773037</v>
      </c>
      <c r="I36">
        <f t="shared" si="4"/>
        <v>-0.17128799999773037</v>
      </c>
      <c r="O36">
        <f t="shared" ca="1" si="5"/>
        <v>-0.16958171094489116</v>
      </c>
      <c r="Q36" s="2">
        <f t="shared" si="2"/>
        <v>35995.036999999997</v>
      </c>
    </row>
    <row r="37" spans="1:31">
      <c r="A37" s="32" t="s">
        <v>99</v>
      </c>
      <c r="B37" s="35" t="s">
        <v>118</v>
      </c>
      <c r="C37" s="34">
        <v>52253.284</v>
      </c>
      <c r="D37" s="34" t="s">
        <v>48</v>
      </c>
      <c r="E37">
        <f t="shared" si="0"/>
        <v>10424.91538132713</v>
      </c>
      <c r="F37">
        <f>ROUND(2*E37,0)/2</f>
        <v>10425</v>
      </c>
      <c r="G37">
        <f t="shared" si="1"/>
        <v>-0.19319999999424908</v>
      </c>
      <c r="I37">
        <f t="shared" si="4"/>
        <v>-0.19319999999424908</v>
      </c>
      <c r="O37">
        <f t="shared" ca="1" si="5"/>
        <v>-0.26059102630189579</v>
      </c>
      <c r="Q37" s="2">
        <f t="shared" si="2"/>
        <v>37234.784</v>
      </c>
    </row>
    <row r="38" spans="1:31">
      <c r="A38" s="16" t="s">
        <v>37</v>
      </c>
      <c r="B38" s="17"/>
      <c r="C38" s="16">
        <v>57257.533100000001</v>
      </c>
      <c r="D38" s="16">
        <v>1E-4</v>
      </c>
      <c r="E38">
        <f t="shared" si="0"/>
        <v>12616.700668890462</v>
      </c>
      <c r="F38" s="36">
        <f>ROUND(2*E38,0)/2+0.5</f>
        <v>12617</v>
      </c>
      <c r="G38">
        <f t="shared" si="1"/>
        <v>-0.68342799999663839</v>
      </c>
      <c r="I38">
        <f t="shared" si="4"/>
        <v>-0.68342799999663839</v>
      </c>
      <c r="O38">
        <f t="shared" ca="1" si="5"/>
        <v>-0.62798038037657999</v>
      </c>
      <c r="Q38" s="2">
        <f t="shared" si="2"/>
        <v>42239.033100000001</v>
      </c>
    </row>
    <row r="39" spans="1:31">
      <c r="A39" s="16" t="s">
        <v>37</v>
      </c>
      <c r="B39" s="17"/>
      <c r="C39" s="16">
        <v>57264.3819</v>
      </c>
      <c r="D39" s="16">
        <v>2.0000000000000001E-4</v>
      </c>
      <c r="E39">
        <f t="shared" si="0"/>
        <v>12619.700339525856</v>
      </c>
      <c r="F39" s="36">
        <f>ROUND(2*E39,0)/2+0.5</f>
        <v>12620</v>
      </c>
      <c r="G39">
        <f t="shared" si="1"/>
        <v>-0.68417999999655876</v>
      </c>
      <c r="I39">
        <f t="shared" si="4"/>
        <v>-0.68417999999655876</v>
      </c>
      <c r="O39">
        <f t="shared" ca="1" si="5"/>
        <v>-0.62848319427358001</v>
      </c>
      <c r="Q39" s="2">
        <f t="shared" si="2"/>
        <v>42245.8819</v>
      </c>
    </row>
    <row r="40" spans="1:31">
      <c r="A40" s="49" t="s">
        <v>128</v>
      </c>
      <c r="B40" s="50" t="s">
        <v>118</v>
      </c>
      <c r="C40" s="54">
        <v>59780.389600000002</v>
      </c>
      <c r="D40" s="49">
        <v>3.5000000000000001E-3</v>
      </c>
      <c r="E40">
        <f t="shared" ref="E40" si="6">+(C40-C$7)/C$8</f>
        <v>13721.673592667084</v>
      </c>
      <c r="F40" s="56">
        <f>ROUND(2*E40,0)/2+0.5</f>
        <v>13722</v>
      </c>
      <c r="G40">
        <f t="shared" ref="G40" si="7">+C40-(C$7+F40*C$8)</f>
        <v>-0.74524799999926472</v>
      </c>
      <c r="I40">
        <f t="shared" ref="I40" si="8">+G40</f>
        <v>-0.74524799999926472</v>
      </c>
      <c r="O40">
        <f t="shared" ref="O40" ca="1" si="9">+C$11+C$12*F40</f>
        <v>-0.81318349910492271</v>
      </c>
      <c r="Q40" s="2">
        <f t="shared" ref="Q40" si="10">+C40-15018.5</f>
        <v>44761.889600000002</v>
      </c>
    </row>
    <row r="41" spans="1:31">
      <c r="B41" s="6"/>
      <c r="C41" s="14"/>
      <c r="D41" s="14"/>
    </row>
    <row r="42" spans="1:31">
      <c r="C42" s="14"/>
      <c r="D42" s="14"/>
    </row>
    <row r="43" spans="1:31">
      <c r="C43" s="14"/>
      <c r="D43" s="14"/>
    </row>
    <row r="44" spans="1:31">
      <c r="C44" s="14"/>
      <c r="D44" s="14"/>
    </row>
    <row r="45" spans="1:31">
      <c r="C45" s="14"/>
      <c r="D45" s="14"/>
    </row>
    <row r="46" spans="1:31">
      <c r="C46" s="14"/>
      <c r="D46" s="14"/>
    </row>
    <row r="47" spans="1:31">
      <c r="C47" s="14"/>
      <c r="D47" s="14"/>
    </row>
    <row r="48" spans="1:31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0"/>
  <sheetViews>
    <sheetView topLeftCell="A6" workbookViewId="0">
      <selection activeCell="A13" sqref="A13:D28"/>
    </sheetView>
  </sheetViews>
  <sheetFormatPr defaultRowHeight="12.75"/>
  <cols>
    <col min="1" max="1" width="19.7109375" style="14" customWidth="1"/>
    <col min="2" max="2" width="4.42578125" style="19" customWidth="1"/>
    <col min="3" max="3" width="12.7109375" style="14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4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18" t="s">
        <v>38</v>
      </c>
      <c r="I1" s="20" t="s">
        <v>39</v>
      </c>
      <c r="J1" s="21" t="s">
        <v>40</v>
      </c>
    </row>
    <row r="2" spans="1:16">
      <c r="I2" s="22" t="s">
        <v>41</v>
      </c>
      <c r="J2" s="23" t="s">
        <v>42</v>
      </c>
    </row>
    <row r="3" spans="1:16">
      <c r="A3" s="24" t="s">
        <v>43</v>
      </c>
      <c r="I3" s="22" t="s">
        <v>44</v>
      </c>
      <c r="J3" s="23" t="s">
        <v>45</v>
      </c>
    </row>
    <row r="4" spans="1:16">
      <c r="I4" s="22" t="s">
        <v>46</v>
      </c>
      <c r="J4" s="23" t="s">
        <v>45</v>
      </c>
    </row>
    <row r="5" spans="1:16" ht="13.5" thickBot="1">
      <c r="I5" s="25" t="s">
        <v>47</v>
      </c>
      <c r="J5" s="26" t="s">
        <v>48</v>
      </c>
    </row>
    <row r="10" spans="1:16" ht="13.5" thickBot="1"/>
    <row r="11" spans="1:16" ht="12.75" customHeight="1" thickBot="1">
      <c r="A11" s="14" t="str">
        <f t="shared" ref="A11:A28" si="0">P11</f>
        <v> BBS 99 </v>
      </c>
      <c r="B11" s="6" t="str">
        <f t="shared" ref="B11:B28" si="1">IF(H11=INT(H11),"I","II")</f>
        <v>I</v>
      </c>
      <c r="C11" s="14">
        <f t="shared" ref="C11:C28" si="2">1*G11</f>
        <v>48536.462</v>
      </c>
      <c r="D11" s="19" t="str">
        <f t="shared" ref="D11:D28" si="3">VLOOKUP(F11,I$1:J$5,2,FALSE)</f>
        <v>vis</v>
      </c>
      <c r="E11" s="27">
        <f>VLOOKUP(C11,Active!C$21:E$973,3,FALSE)</f>
        <v>8797.0036580494616</v>
      </c>
      <c r="F11" s="6" t="s">
        <v>47</v>
      </c>
      <c r="G11" s="19" t="str">
        <f t="shared" ref="G11:G28" si="4">MID(I11,3,LEN(I11)-3)</f>
        <v>48536.462</v>
      </c>
      <c r="H11" s="14">
        <f t="shared" ref="H11:H28" si="5">1*K11</f>
        <v>8797</v>
      </c>
      <c r="I11" s="28" t="s">
        <v>90</v>
      </c>
      <c r="J11" s="29" t="s">
        <v>91</v>
      </c>
      <c r="K11" s="28">
        <v>8797</v>
      </c>
      <c r="L11" s="28" t="s">
        <v>92</v>
      </c>
      <c r="M11" s="29" t="s">
        <v>93</v>
      </c>
      <c r="N11" s="29"/>
      <c r="O11" s="30" t="s">
        <v>94</v>
      </c>
      <c r="P11" s="30" t="s">
        <v>95</v>
      </c>
    </row>
    <row r="12" spans="1:16" ht="12.75" customHeight="1" thickBot="1">
      <c r="A12" s="14" t="str">
        <f t="shared" si="0"/>
        <v>BAVM 241 (=IBVS 6157) </v>
      </c>
      <c r="B12" s="6" t="str">
        <f t="shared" si="1"/>
        <v>I</v>
      </c>
      <c r="C12" s="14">
        <f t="shared" si="2"/>
        <v>57257.533100000001</v>
      </c>
      <c r="D12" s="19" t="str">
        <f t="shared" si="3"/>
        <v>vis</v>
      </c>
      <c r="E12" s="27">
        <f>VLOOKUP(C12,Active!C$21:E$973,3,FALSE)</f>
        <v>12616.700668890462</v>
      </c>
      <c r="F12" s="6" t="s">
        <v>47</v>
      </c>
      <c r="G12" s="19" t="str">
        <f t="shared" si="4"/>
        <v>57257.5331</v>
      </c>
      <c r="H12" s="14">
        <f t="shared" si="5"/>
        <v>12617</v>
      </c>
      <c r="I12" s="28" t="s">
        <v>106</v>
      </c>
      <c r="J12" s="29" t="s">
        <v>107</v>
      </c>
      <c r="K12" s="28">
        <v>12617</v>
      </c>
      <c r="L12" s="28" t="s">
        <v>108</v>
      </c>
      <c r="M12" s="29" t="s">
        <v>109</v>
      </c>
      <c r="N12" s="29" t="s">
        <v>110</v>
      </c>
      <c r="O12" s="30" t="s">
        <v>111</v>
      </c>
      <c r="P12" s="31" t="s">
        <v>112</v>
      </c>
    </row>
    <row r="13" spans="1:16" ht="12.75" customHeight="1" thickBot="1">
      <c r="A13" s="14" t="str">
        <f t="shared" si="0"/>
        <v> PZ 5.212 </v>
      </c>
      <c r="B13" s="6" t="str">
        <f t="shared" si="1"/>
        <v>II</v>
      </c>
      <c r="C13" s="14">
        <f t="shared" si="2"/>
        <v>17476.28</v>
      </c>
      <c r="D13" s="19" t="str">
        <f t="shared" si="3"/>
        <v>vis</v>
      </c>
      <c r="E13" s="27">
        <f>VLOOKUP(C13,Active!C$21:E$973,3,FALSE)</f>
        <v>-4806.8854722177457</v>
      </c>
      <c r="F13" s="6" t="s">
        <v>47</v>
      </c>
      <c r="G13" s="19" t="str">
        <f t="shared" si="4"/>
        <v>17476.28</v>
      </c>
      <c r="H13" s="14">
        <f t="shared" si="5"/>
        <v>-4807.5</v>
      </c>
      <c r="I13" s="28" t="s">
        <v>49</v>
      </c>
      <c r="J13" s="29" t="s">
        <v>50</v>
      </c>
      <c r="K13" s="28">
        <v>-4807.5</v>
      </c>
      <c r="L13" s="28" t="s">
        <v>51</v>
      </c>
      <c r="M13" s="29" t="s">
        <v>52</v>
      </c>
      <c r="N13" s="29"/>
      <c r="O13" s="30" t="s">
        <v>53</v>
      </c>
      <c r="P13" s="30" t="s">
        <v>54</v>
      </c>
    </row>
    <row r="14" spans="1:16" ht="12.75" customHeight="1" thickBot="1">
      <c r="A14" s="14" t="str">
        <f t="shared" si="0"/>
        <v> AN 281.180 </v>
      </c>
      <c r="B14" s="6" t="str">
        <f t="shared" si="1"/>
        <v>I</v>
      </c>
      <c r="C14" s="14">
        <f t="shared" si="2"/>
        <v>28104.278999999999</v>
      </c>
      <c r="D14" s="19" t="str">
        <f t="shared" si="3"/>
        <v>vis</v>
      </c>
      <c r="E14" s="27">
        <f>VLOOKUP(C14,Active!C$21:E$973,3,FALSE)</f>
        <v>-151.98293260639574</v>
      </c>
      <c r="F14" s="6" t="s">
        <v>47</v>
      </c>
      <c r="G14" s="19" t="str">
        <f t="shared" si="4"/>
        <v>28104.279</v>
      </c>
      <c r="H14" s="14">
        <f t="shared" si="5"/>
        <v>-152</v>
      </c>
      <c r="I14" s="28" t="s">
        <v>55</v>
      </c>
      <c r="J14" s="29" t="s">
        <v>56</v>
      </c>
      <c r="K14" s="28">
        <v>-152</v>
      </c>
      <c r="L14" s="28" t="s">
        <v>57</v>
      </c>
      <c r="M14" s="29" t="s">
        <v>52</v>
      </c>
      <c r="N14" s="29"/>
      <c r="O14" s="30" t="s">
        <v>58</v>
      </c>
      <c r="P14" s="30" t="s">
        <v>59</v>
      </c>
    </row>
    <row r="15" spans="1:16" ht="12.75" customHeight="1" thickBot="1">
      <c r="A15" s="14" t="str">
        <f t="shared" si="0"/>
        <v> AN 281.180 </v>
      </c>
      <c r="B15" s="6" t="str">
        <f t="shared" si="1"/>
        <v>I</v>
      </c>
      <c r="C15" s="14">
        <f t="shared" si="2"/>
        <v>28396.487000000001</v>
      </c>
      <c r="D15" s="19" t="str">
        <f t="shared" si="3"/>
        <v>vis</v>
      </c>
      <c r="E15" s="27">
        <f>VLOOKUP(C15,Active!C$21:E$973,3,FALSE)</f>
        <v>-24.000255783151363</v>
      </c>
      <c r="F15" s="6" t="s">
        <v>47</v>
      </c>
      <c r="G15" s="19" t="str">
        <f t="shared" si="4"/>
        <v>28396.487</v>
      </c>
      <c r="H15" s="14">
        <f t="shared" si="5"/>
        <v>-24</v>
      </c>
      <c r="I15" s="28" t="s">
        <v>60</v>
      </c>
      <c r="J15" s="29" t="s">
        <v>61</v>
      </c>
      <c r="K15" s="28">
        <v>-24</v>
      </c>
      <c r="L15" s="28" t="s">
        <v>62</v>
      </c>
      <c r="M15" s="29" t="s">
        <v>52</v>
      </c>
      <c r="N15" s="29"/>
      <c r="O15" s="30" t="s">
        <v>58</v>
      </c>
      <c r="P15" s="30" t="s">
        <v>59</v>
      </c>
    </row>
    <row r="16" spans="1:16" ht="12.75" customHeight="1" thickBot="1">
      <c r="A16" s="14" t="str">
        <f t="shared" si="0"/>
        <v> AN 281.180 </v>
      </c>
      <c r="B16" s="6" t="str">
        <f t="shared" si="1"/>
        <v>I</v>
      </c>
      <c r="C16" s="14">
        <f t="shared" si="2"/>
        <v>28451.279999999999</v>
      </c>
      <c r="D16" s="19" t="str">
        <f t="shared" si="3"/>
        <v>vis</v>
      </c>
      <c r="E16" s="27">
        <f>VLOOKUP(C16,Active!C$21:E$973,3,FALSE)</f>
        <v>-1.7519393972692992E-3</v>
      </c>
      <c r="F16" s="6" t="s">
        <v>47</v>
      </c>
      <c r="G16" s="19" t="str">
        <f t="shared" si="4"/>
        <v>28451.280</v>
      </c>
      <c r="H16" s="14">
        <f t="shared" si="5"/>
        <v>0</v>
      </c>
      <c r="I16" s="28" t="s">
        <v>63</v>
      </c>
      <c r="J16" s="29" t="s">
        <v>64</v>
      </c>
      <c r="K16" s="28">
        <v>0</v>
      </c>
      <c r="L16" s="28" t="s">
        <v>65</v>
      </c>
      <c r="M16" s="29" t="s">
        <v>52</v>
      </c>
      <c r="N16" s="29"/>
      <c r="O16" s="30" t="s">
        <v>58</v>
      </c>
      <c r="P16" s="30" t="s">
        <v>59</v>
      </c>
    </row>
    <row r="17" spans="1:16" ht="12.75" customHeight="1" thickBot="1">
      <c r="A17" s="14" t="str">
        <f t="shared" si="0"/>
        <v> AN 281.180 </v>
      </c>
      <c r="B17" s="6" t="str">
        <f t="shared" si="1"/>
        <v>I</v>
      </c>
      <c r="C17" s="14">
        <f t="shared" si="2"/>
        <v>28654.462</v>
      </c>
      <c r="D17" s="19" t="str">
        <f t="shared" si="3"/>
        <v>vis</v>
      </c>
      <c r="E17" s="27">
        <f>VLOOKUP(C17,Active!C$21:E$973,3,FALSE)</f>
        <v>88.988885696465942</v>
      </c>
      <c r="F17" s="6" t="s">
        <v>47</v>
      </c>
      <c r="G17" s="19" t="str">
        <f t="shared" si="4"/>
        <v>28654.462</v>
      </c>
      <c r="H17" s="14">
        <f t="shared" si="5"/>
        <v>89</v>
      </c>
      <c r="I17" s="28" t="s">
        <v>66</v>
      </c>
      <c r="J17" s="29" t="s">
        <v>67</v>
      </c>
      <c r="K17" s="28">
        <v>89</v>
      </c>
      <c r="L17" s="28" t="s">
        <v>68</v>
      </c>
      <c r="M17" s="29" t="s">
        <v>52</v>
      </c>
      <c r="N17" s="29"/>
      <c r="O17" s="30" t="s">
        <v>58</v>
      </c>
      <c r="P17" s="30" t="s">
        <v>59</v>
      </c>
    </row>
    <row r="18" spans="1:16" ht="12.75" customHeight="1" thickBot="1">
      <c r="A18" s="14" t="str">
        <f t="shared" si="0"/>
        <v> AN 281.180 </v>
      </c>
      <c r="B18" s="6" t="str">
        <f t="shared" si="1"/>
        <v>I</v>
      </c>
      <c r="C18" s="14">
        <f t="shared" si="2"/>
        <v>28718.465</v>
      </c>
      <c r="D18" s="19" t="str">
        <f t="shared" si="3"/>
        <v>vis</v>
      </c>
      <c r="E18" s="27">
        <f>VLOOKUP(C18,Active!C$21:E$973,3,FALSE)</f>
        <v>117.02123000161201</v>
      </c>
      <c r="F18" s="6" t="s">
        <v>47</v>
      </c>
      <c r="G18" s="19" t="str">
        <f t="shared" si="4"/>
        <v>28718.465</v>
      </c>
      <c r="H18" s="14">
        <f t="shared" si="5"/>
        <v>117</v>
      </c>
      <c r="I18" s="28" t="s">
        <v>69</v>
      </c>
      <c r="J18" s="29" t="s">
        <v>70</v>
      </c>
      <c r="K18" s="28">
        <v>117</v>
      </c>
      <c r="L18" s="28" t="s">
        <v>71</v>
      </c>
      <c r="M18" s="29" t="s">
        <v>52</v>
      </c>
      <c r="N18" s="29"/>
      <c r="O18" s="30" t="s">
        <v>58</v>
      </c>
      <c r="P18" s="30" t="s">
        <v>59</v>
      </c>
    </row>
    <row r="19" spans="1:16" ht="12.75" customHeight="1" thickBot="1">
      <c r="A19" s="14" t="str">
        <f t="shared" si="0"/>
        <v> PZ 5.212 </v>
      </c>
      <c r="B19" s="6" t="str">
        <f t="shared" si="1"/>
        <v>I</v>
      </c>
      <c r="C19" s="14">
        <f t="shared" si="2"/>
        <v>28750.38</v>
      </c>
      <c r="D19" s="19" t="str">
        <f t="shared" si="3"/>
        <v>vis</v>
      </c>
      <c r="E19" s="27">
        <f>VLOOKUP(C19,Active!C$21:E$973,3,FALSE)</f>
        <v>130.99951646472707</v>
      </c>
      <c r="F19" s="6" t="s">
        <v>47</v>
      </c>
      <c r="G19" s="19" t="str">
        <f t="shared" si="4"/>
        <v>28750.38</v>
      </c>
      <c r="H19" s="14">
        <f t="shared" si="5"/>
        <v>131</v>
      </c>
      <c r="I19" s="28" t="s">
        <v>72</v>
      </c>
      <c r="J19" s="29" t="s">
        <v>73</v>
      </c>
      <c r="K19" s="28">
        <v>131</v>
      </c>
      <c r="L19" s="28" t="s">
        <v>74</v>
      </c>
      <c r="M19" s="29" t="s">
        <v>52</v>
      </c>
      <c r="N19" s="29"/>
      <c r="O19" s="30" t="s">
        <v>53</v>
      </c>
      <c r="P19" s="30" t="s">
        <v>54</v>
      </c>
    </row>
    <row r="20" spans="1:16" ht="12.75" customHeight="1" thickBot="1">
      <c r="A20" s="14" t="str">
        <f t="shared" si="0"/>
        <v> AN 281.180 </v>
      </c>
      <c r="B20" s="6" t="str">
        <f t="shared" si="1"/>
        <v>I</v>
      </c>
      <c r="C20" s="14">
        <f t="shared" si="2"/>
        <v>28775.439999999999</v>
      </c>
      <c r="D20" s="19" t="str">
        <f t="shared" si="3"/>
        <v>vis</v>
      </c>
      <c r="E20" s="27">
        <f>VLOOKUP(C20,Active!C$21:E$973,3,FALSE)</f>
        <v>141.97541678638211</v>
      </c>
      <c r="F20" s="6" t="s">
        <v>47</v>
      </c>
      <c r="G20" s="19" t="str">
        <f t="shared" si="4"/>
        <v>28775.440</v>
      </c>
      <c r="H20" s="14">
        <f t="shared" si="5"/>
        <v>142</v>
      </c>
      <c r="I20" s="28" t="s">
        <v>75</v>
      </c>
      <c r="J20" s="29" t="s">
        <v>76</v>
      </c>
      <c r="K20" s="28">
        <v>142</v>
      </c>
      <c r="L20" s="28" t="s">
        <v>77</v>
      </c>
      <c r="M20" s="29" t="s">
        <v>52</v>
      </c>
      <c r="N20" s="29"/>
      <c r="O20" s="30" t="s">
        <v>58</v>
      </c>
      <c r="P20" s="30" t="s">
        <v>59</v>
      </c>
    </row>
    <row r="21" spans="1:16" ht="12.75" customHeight="1" thickBot="1">
      <c r="A21" s="14" t="str">
        <f t="shared" si="0"/>
        <v> AN 281.180 </v>
      </c>
      <c r="B21" s="6" t="str">
        <f t="shared" si="1"/>
        <v>I</v>
      </c>
      <c r="C21" s="14">
        <f t="shared" si="2"/>
        <v>29129.412</v>
      </c>
      <c r="D21" s="19" t="str">
        <f t="shared" si="3"/>
        <v>vis</v>
      </c>
      <c r="E21" s="27">
        <f>VLOOKUP(C21,Active!C$21:E$973,3,FALSE)</f>
        <v>297.00978983735024</v>
      </c>
      <c r="F21" s="6" t="s">
        <v>47</v>
      </c>
      <c r="G21" s="19" t="str">
        <f t="shared" si="4"/>
        <v>29129.412</v>
      </c>
      <c r="H21" s="14">
        <f t="shared" si="5"/>
        <v>297</v>
      </c>
      <c r="I21" s="28" t="s">
        <v>78</v>
      </c>
      <c r="J21" s="29" t="s">
        <v>79</v>
      </c>
      <c r="K21" s="28">
        <v>297</v>
      </c>
      <c r="L21" s="28" t="s">
        <v>80</v>
      </c>
      <c r="M21" s="29" t="s">
        <v>52</v>
      </c>
      <c r="N21" s="29"/>
      <c r="O21" s="30" t="s">
        <v>58</v>
      </c>
      <c r="P21" s="30" t="s">
        <v>59</v>
      </c>
    </row>
    <row r="22" spans="1:16" ht="12.75" customHeight="1" thickBot="1">
      <c r="A22" s="14" t="str">
        <f t="shared" si="0"/>
        <v> AN 281.180 </v>
      </c>
      <c r="B22" s="6" t="str">
        <f t="shared" si="1"/>
        <v>I</v>
      </c>
      <c r="C22" s="14">
        <f t="shared" si="2"/>
        <v>29161.356</v>
      </c>
      <c r="D22" s="19" t="str">
        <f t="shared" si="3"/>
        <v>vis</v>
      </c>
      <c r="E22" s="27">
        <f>VLOOKUP(C22,Active!C$21:E$973,3,FALSE)</f>
        <v>311.00077786109227</v>
      </c>
      <c r="F22" s="6" t="s">
        <v>47</v>
      </c>
      <c r="G22" s="19" t="str">
        <f t="shared" si="4"/>
        <v>29161.356</v>
      </c>
      <c r="H22" s="14">
        <f t="shared" si="5"/>
        <v>311</v>
      </c>
      <c r="I22" s="28" t="s">
        <v>81</v>
      </c>
      <c r="J22" s="29" t="s">
        <v>82</v>
      </c>
      <c r="K22" s="28">
        <v>311</v>
      </c>
      <c r="L22" s="28" t="s">
        <v>83</v>
      </c>
      <c r="M22" s="29" t="s">
        <v>52</v>
      </c>
      <c r="N22" s="29"/>
      <c r="O22" s="30" t="s">
        <v>58</v>
      </c>
      <c r="P22" s="30" t="s">
        <v>59</v>
      </c>
    </row>
    <row r="23" spans="1:16" ht="12.75" customHeight="1" thickBot="1">
      <c r="A23" s="14" t="str">
        <f t="shared" si="0"/>
        <v> AN 281.180 </v>
      </c>
      <c r="B23" s="6" t="str">
        <f t="shared" si="1"/>
        <v>I</v>
      </c>
      <c r="C23" s="14">
        <f t="shared" si="2"/>
        <v>29759.517</v>
      </c>
      <c r="D23" s="19" t="str">
        <f t="shared" si="3"/>
        <v>vis</v>
      </c>
      <c r="E23" s="27">
        <f>VLOOKUP(C23,Active!C$21:E$973,3,FALSE)</f>
        <v>572.98623326021914</v>
      </c>
      <c r="F23" s="6" t="s">
        <v>47</v>
      </c>
      <c r="G23" s="19" t="str">
        <f t="shared" si="4"/>
        <v>29759.517</v>
      </c>
      <c r="H23" s="14">
        <f t="shared" si="5"/>
        <v>573</v>
      </c>
      <c r="I23" s="28" t="s">
        <v>84</v>
      </c>
      <c r="J23" s="29" t="s">
        <v>85</v>
      </c>
      <c r="K23" s="28">
        <v>573</v>
      </c>
      <c r="L23" s="28" t="s">
        <v>86</v>
      </c>
      <c r="M23" s="29" t="s">
        <v>52</v>
      </c>
      <c r="N23" s="29"/>
      <c r="O23" s="30" t="s">
        <v>58</v>
      </c>
      <c r="P23" s="30" t="s">
        <v>59</v>
      </c>
    </row>
    <row r="24" spans="1:16" ht="12.75" customHeight="1" thickBot="1">
      <c r="A24" s="14" t="str">
        <f t="shared" si="0"/>
        <v> AN 281.180 </v>
      </c>
      <c r="B24" s="6" t="str">
        <f t="shared" si="1"/>
        <v>I</v>
      </c>
      <c r="C24" s="14">
        <f t="shared" si="2"/>
        <v>29880.562000000002</v>
      </c>
      <c r="D24" s="19" t="str">
        <f t="shared" si="3"/>
        <v>vis</v>
      </c>
      <c r="E24" s="27">
        <f>VLOOKUP(C24,Active!C$21:E$973,3,FALSE)</f>
        <v>626.00210933503479</v>
      </c>
      <c r="F24" s="6" t="s">
        <v>47</v>
      </c>
      <c r="G24" s="19" t="str">
        <f t="shared" si="4"/>
        <v>29880.562</v>
      </c>
      <c r="H24" s="14">
        <f t="shared" si="5"/>
        <v>626</v>
      </c>
      <c r="I24" s="28" t="s">
        <v>87</v>
      </c>
      <c r="J24" s="29" t="s">
        <v>88</v>
      </c>
      <c r="K24" s="28">
        <v>626</v>
      </c>
      <c r="L24" s="28" t="s">
        <v>89</v>
      </c>
      <c r="M24" s="29" t="s">
        <v>52</v>
      </c>
      <c r="N24" s="29"/>
      <c r="O24" s="30" t="s">
        <v>58</v>
      </c>
      <c r="P24" s="30" t="s">
        <v>59</v>
      </c>
    </row>
    <row r="25" spans="1:16" ht="12.75" customHeight="1" thickBot="1">
      <c r="A25" s="14" t="str">
        <f t="shared" si="0"/>
        <v> BBS 127 </v>
      </c>
      <c r="B25" s="6" t="str">
        <f t="shared" si="1"/>
        <v>I</v>
      </c>
      <c r="C25" s="14">
        <f t="shared" si="2"/>
        <v>50714.445</v>
      </c>
      <c r="D25" s="19" t="str">
        <f t="shared" si="3"/>
        <v>vis</v>
      </c>
      <c r="E25" s="27">
        <f>VLOOKUP(C25,Active!C$21:E$973,3,FALSE)</f>
        <v>9750.9272139258155</v>
      </c>
      <c r="F25" s="6" t="s">
        <v>47</v>
      </c>
      <c r="G25" s="19" t="str">
        <f t="shared" si="4"/>
        <v>50714.445</v>
      </c>
      <c r="H25" s="14">
        <f t="shared" si="5"/>
        <v>9751</v>
      </c>
      <c r="I25" s="28" t="s">
        <v>96</v>
      </c>
      <c r="J25" s="29" t="s">
        <v>97</v>
      </c>
      <c r="K25" s="28">
        <v>9751</v>
      </c>
      <c r="L25" s="28" t="s">
        <v>98</v>
      </c>
      <c r="M25" s="29" t="s">
        <v>93</v>
      </c>
      <c r="N25" s="29"/>
      <c r="O25" s="30" t="s">
        <v>94</v>
      </c>
      <c r="P25" s="30" t="s">
        <v>99</v>
      </c>
    </row>
    <row r="26" spans="1:16" ht="12.75" customHeight="1" thickBot="1">
      <c r="A26" s="14" t="str">
        <f t="shared" si="0"/>
        <v> BBS 127 </v>
      </c>
      <c r="B26" s="6" t="str">
        <f t="shared" si="1"/>
        <v>I</v>
      </c>
      <c r="C26" s="14">
        <f t="shared" si="2"/>
        <v>51013.536999999997</v>
      </c>
      <c r="D26" s="19" t="str">
        <f t="shared" si="3"/>
        <v>vis</v>
      </c>
      <c r="E26" s="27">
        <f>VLOOKUP(C26,Active!C$21:E$973,3,FALSE)</f>
        <v>9881.9249784511449</v>
      </c>
      <c r="F26" s="6" t="s">
        <v>47</v>
      </c>
      <c r="G26" s="19" t="str">
        <f t="shared" si="4"/>
        <v>51013.537</v>
      </c>
      <c r="H26" s="14">
        <f t="shared" si="5"/>
        <v>9882</v>
      </c>
      <c r="I26" s="28" t="s">
        <v>100</v>
      </c>
      <c r="J26" s="29" t="s">
        <v>101</v>
      </c>
      <c r="K26" s="28">
        <v>9882</v>
      </c>
      <c r="L26" s="28" t="s">
        <v>102</v>
      </c>
      <c r="M26" s="29" t="s">
        <v>93</v>
      </c>
      <c r="N26" s="29"/>
      <c r="O26" s="30" t="s">
        <v>94</v>
      </c>
      <c r="P26" s="30" t="s">
        <v>99</v>
      </c>
    </row>
    <row r="27" spans="1:16" ht="12.75" customHeight="1" thickBot="1">
      <c r="A27" s="14" t="str">
        <f t="shared" si="0"/>
        <v> BBS 127 </v>
      </c>
      <c r="B27" s="6" t="str">
        <f t="shared" si="1"/>
        <v>I</v>
      </c>
      <c r="C27" s="14">
        <f t="shared" si="2"/>
        <v>52253.284</v>
      </c>
      <c r="D27" s="19" t="str">
        <f t="shared" si="3"/>
        <v>vis</v>
      </c>
      <c r="E27" s="27">
        <f>VLOOKUP(C27,Active!C$21:E$973,3,FALSE)</f>
        <v>10424.91538132713</v>
      </c>
      <c r="F27" s="6" t="s">
        <v>47</v>
      </c>
      <c r="G27" s="19" t="str">
        <f t="shared" si="4"/>
        <v>52253.284</v>
      </c>
      <c r="H27" s="14">
        <f t="shared" si="5"/>
        <v>10425</v>
      </c>
      <c r="I27" s="28" t="s">
        <v>103</v>
      </c>
      <c r="J27" s="29" t="s">
        <v>104</v>
      </c>
      <c r="K27" s="28">
        <v>10425</v>
      </c>
      <c r="L27" s="28" t="s">
        <v>105</v>
      </c>
      <c r="M27" s="29" t="s">
        <v>93</v>
      </c>
      <c r="N27" s="29"/>
      <c r="O27" s="30" t="s">
        <v>94</v>
      </c>
      <c r="P27" s="30" t="s">
        <v>99</v>
      </c>
    </row>
    <row r="28" spans="1:16" ht="12.75" customHeight="1" thickBot="1">
      <c r="A28" s="14" t="str">
        <f t="shared" si="0"/>
        <v>BAVM 241 (=IBVS 6157) </v>
      </c>
      <c r="B28" s="6" t="str">
        <f t="shared" si="1"/>
        <v>I</v>
      </c>
      <c r="C28" s="14">
        <f t="shared" si="2"/>
        <v>57264.3819</v>
      </c>
      <c r="D28" s="19" t="str">
        <f t="shared" si="3"/>
        <v>vis</v>
      </c>
      <c r="E28" s="27">
        <f>VLOOKUP(C28,Active!C$21:E$973,3,FALSE)</f>
        <v>12619.700339525856</v>
      </c>
      <c r="F28" s="6" t="s">
        <v>47</v>
      </c>
      <c r="G28" s="19" t="str">
        <f t="shared" si="4"/>
        <v>57264.3819</v>
      </c>
      <c r="H28" s="14">
        <f t="shared" si="5"/>
        <v>12620</v>
      </c>
      <c r="I28" s="28" t="s">
        <v>113</v>
      </c>
      <c r="J28" s="29" t="s">
        <v>114</v>
      </c>
      <c r="K28" s="28" t="s">
        <v>115</v>
      </c>
      <c r="L28" s="28" t="s">
        <v>116</v>
      </c>
      <c r="M28" s="29" t="s">
        <v>109</v>
      </c>
      <c r="N28" s="29" t="s">
        <v>110</v>
      </c>
      <c r="O28" s="30" t="s">
        <v>111</v>
      </c>
      <c r="P28" s="31" t="s">
        <v>112</v>
      </c>
    </row>
    <row r="29" spans="1:16">
      <c r="B29" s="6"/>
      <c r="E29" s="27"/>
      <c r="F29" s="6"/>
    </row>
    <row r="30" spans="1:16">
      <c r="B30" s="6"/>
      <c r="E30" s="27"/>
      <c r="F30" s="6"/>
    </row>
    <row r="31" spans="1:16">
      <c r="B31" s="6"/>
      <c r="E31" s="27"/>
      <c r="F31" s="6"/>
    </row>
    <row r="32" spans="1:16">
      <c r="B32" s="6"/>
      <c r="E32" s="27"/>
      <c r="F32" s="6"/>
    </row>
    <row r="33" spans="2:6">
      <c r="B33" s="6"/>
      <c r="E33" s="27"/>
      <c r="F33" s="6"/>
    </row>
    <row r="34" spans="2:6">
      <c r="B34" s="6"/>
      <c r="E34" s="27"/>
      <c r="F34" s="6"/>
    </row>
    <row r="35" spans="2:6">
      <c r="B35" s="6"/>
      <c r="E35" s="27"/>
      <c r="F35" s="6"/>
    </row>
    <row r="36" spans="2:6">
      <c r="B36" s="6"/>
      <c r="E36" s="27"/>
      <c r="F36" s="6"/>
    </row>
    <row r="37" spans="2:6">
      <c r="B37" s="6"/>
      <c r="E37" s="27"/>
      <c r="F37" s="6"/>
    </row>
    <row r="38" spans="2:6">
      <c r="B38" s="6"/>
      <c r="E38" s="27"/>
      <c r="F38" s="6"/>
    </row>
    <row r="39" spans="2:6">
      <c r="B39" s="6"/>
      <c r="E39" s="27"/>
      <c r="F39" s="6"/>
    </row>
    <row r="40" spans="2:6">
      <c r="B40" s="6"/>
      <c r="E40" s="27"/>
      <c r="F40" s="6"/>
    </row>
    <row r="41" spans="2:6">
      <c r="B41" s="6"/>
      <c r="E41" s="27"/>
      <c r="F41" s="6"/>
    </row>
    <row r="42" spans="2:6">
      <c r="B42" s="6"/>
      <c r="E42" s="27"/>
      <c r="F42" s="6"/>
    </row>
    <row r="43" spans="2:6">
      <c r="B43" s="6"/>
      <c r="E43" s="27"/>
      <c r="F43" s="6"/>
    </row>
    <row r="44" spans="2:6">
      <c r="B44" s="6"/>
      <c r="E44" s="27"/>
      <c r="F44" s="6"/>
    </row>
    <row r="45" spans="2:6">
      <c r="B45" s="6"/>
      <c r="E45" s="27"/>
      <c r="F45" s="6"/>
    </row>
    <row r="46" spans="2:6">
      <c r="B46" s="6"/>
      <c r="E46" s="27"/>
      <c r="F46" s="6"/>
    </row>
    <row r="47" spans="2:6">
      <c r="B47" s="6"/>
      <c r="E47" s="27"/>
      <c r="F47" s="6"/>
    </row>
    <row r="48" spans="2:6">
      <c r="B48" s="6"/>
      <c r="E48" s="27"/>
      <c r="F48" s="6"/>
    </row>
    <row r="49" spans="2:6">
      <c r="B49" s="6"/>
      <c r="E49" s="27"/>
      <c r="F49" s="6"/>
    </row>
    <row r="50" spans="2:6">
      <c r="B50" s="6"/>
      <c r="E50" s="27"/>
      <c r="F50" s="6"/>
    </row>
    <row r="51" spans="2:6">
      <c r="B51" s="6"/>
      <c r="E51" s="27"/>
      <c r="F51" s="6"/>
    </row>
    <row r="52" spans="2:6">
      <c r="B52" s="6"/>
      <c r="E52" s="27"/>
      <c r="F52" s="6"/>
    </row>
    <row r="53" spans="2:6">
      <c r="B53" s="6"/>
      <c r="E53" s="27"/>
      <c r="F53" s="6"/>
    </row>
    <row r="54" spans="2:6">
      <c r="B54" s="6"/>
      <c r="E54" s="27"/>
      <c r="F54" s="6"/>
    </row>
    <row r="55" spans="2:6">
      <c r="B55" s="6"/>
      <c r="E55" s="27"/>
      <c r="F55" s="6"/>
    </row>
    <row r="56" spans="2:6">
      <c r="B56" s="6"/>
      <c r="E56" s="27"/>
      <c r="F56" s="6"/>
    </row>
    <row r="57" spans="2:6">
      <c r="B57" s="6"/>
      <c r="E57" s="27"/>
      <c r="F57" s="6"/>
    </row>
    <row r="58" spans="2:6">
      <c r="B58" s="6"/>
      <c r="E58" s="27"/>
      <c r="F58" s="6"/>
    </row>
    <row r="59" spans="2:6">
      <c r="B59" s="6"/>
      <c r="E59" s="27"/>
      <c r="F59" s="6"/>
    </row>
    <row r="60" spans="2:6">
      <c r="B60" s="6"/>
      <c r="E60" s="27"/>
      <c r="F60" s="6"/>
    </row>
    <row r="61" spans="2:6">
      <c r="B61" s="6"/>
      <c r="E61" s="27"/>
      <c r="F61" s="6"/>
    </row>
    <row r="62" spans="2:6">
      <c r="B62" s="6"/>
      <c r="E62" s="27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</sheetData>
  <phoneticPr fontId="7" type="noConversion"/>
  <hyperlinks>
    <hyperlink ref="P12" r:id="rId1" display="http://www.bav-astro.de/sfs/BAVM_link.php?BAVMnr=241"/>
    <hyperlink ref="P28" r:id="rId2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2023-08-14T07:04:19Z</dcterms:modified>
</cp:coreProperties>
</file>