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57C2F95-EF01-4A45-906B-AB9B89295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03" i="2" l="1"/>
  <c r="F103" i="2" s="1"/>
  <c r="G103" i="2" s="1"/>
  <c r="K103" i="2" s="1"/>
  <c r="Q103" i="2"/>
  <c r="E100" i="2"/>
  <c r="F100" i="2"/>
  <c r="G100" i="2" s="1"/>
  <c r="K100" i="2" s="1"/>
  <c r="Q100" i="2"/>
  <c r="E101" i="2"/>
  <c r="F101" i="2"/>
  <c r="G101" i="2" s="1"/>
  <c r="K101" i="2" s="1"/>
  <c r="Q101" i="2"/>
  <c r="E102" i="2"/>
  <c r="F102" i="2"/>
  <c r="G102" i="2" s="1"/>
  <c r="K102" i="2" s="1"/>
  <c r="Q102" i="2"/>
  <c r="E96" i="2"/>
  <c r="F96" i="2" s="1"/>
  <c r="G96" i="2" s="1"/>
  <c r="K96" i="2" s="1"/>
  <c r="Q96" i="2"/>
  <c r="E97" i="2"/>
  <c r="F97" i="2"/>
  <c r="G97" i="2" s="1"/>
  <c r="K97" i="2" s="1"/>
  <c r="Q97" i="2"/>
  <c r="E98" i="2"/>
  <c r="F98" i="2"/>
  <c r="G98" i="2" s="1"/>
  <c r="K98" i="2" s="1"/>
  <c r="Q98" i="2"/>
  <c r="E99" i="2"/>
  <c r="F99" i="2" s="1"/>
  <c r="G99" i="2" s="1"/>
  <c r="K99" i="2" s="1"/>
  <c r="Q99" i="2"/>
  <c r="Q95" i="2"/>
  <c r="Q94" i="2"/>
  <c r="E91" i="2"/>
  <c r="F91" i="2"/>
  <c r="E82" i="2"/>
  <c r="F82" i="2"/>
  <c r="G82" i="2"/>
  <c r="K82" i="2"/>
  <c r="Q93" i="2"/>
  <c r="Q91" i="2"/>
  <c r="Q92" i="2"/>
  <c r="C7" i="2"/>
  <c r="E95" i="2"/>
  <c r="F95" i="2"/>
  <c r="E73" i="2"/>
  <c r="F73" i="2"/>
  <c r="E79" i="2"/>
  <c r="F79" i="2"/>
  <c r="Q88" i="2"/>
  <c r="E21" i="2"/>
  <c r="F21" i="2"/>
  <c r="G21" i="2"/>
  <c r="H21" i="2"/>
  <c r="E22" i="2"/>
  <c r="F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I30" i="2"/>
  <c r="E31" i="2"/>
  <c r="F31" i="2"/>
  <c r="G31" i="2"/>
  <c r="H31" i="2"/>
  <c r="E32" i="2"/>
  <c r="F32" i="2"/>
  <c r="G32" i="2"/>
  <c r="I32" i="2"/>
  <c r="E33" i="2"/>
  <c r="F33" i="2"/>
  <c r="G33" i="2"/>
  <c r="I33" i="2"/>
  <c r="E34" i="2"/>
  <c r="F34" i="2"/>
  <c r="G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I38" i="2"/>
  <c r="E39" i="2"/>
  <c r="F39" i="2"/>
  <c r="G39" i="2"/>
  <c r="I39" i="2"/>
  <c r="E40" i="2"/>
  <c r="F40" i="2"/>
  <c r="G40" i="2"/>
  <c r="H40" i="2"/>
  <c r="E41" i="2"/>
  <c r="F41" i="2"/>
  <c r="G41" i="2"/>
  <c r="H41" i="2"/>
  <c r="E42" i="2"/>
  <c r="F42" i="2"/>
  <c r="G42" i="2"/>
  <c r="E43" i="2"/>
  <c r="F43" i="2"/>
  <c r="G43" i="2"/>
  <c r="I43" i="2"/>
  <c r="E44" i="2"/>
  <c r="F44" i="2"/>
  <c r="G44" i="2"/>
  <c r="I44" i="2"/>
  <c r="E45" i="2"/>
  <c r="F45" i="2"/>
  <c r="G45" i="2"/>
  <c r="I45" i="2"/>
  <c r="E46" i="2"/>
  <c r="F46" i="2"/>
  <c r="G46" i="2"/>
  <c r="I46" i="2"/>
  <c r="E47" i="2"/>
  <c r="F47" i="2"/>
  <c r="G47" i="2"/>
  <c r="I47" i="2"/>
  <c r="E48" i="2"/>
  <c r="F48" i="2"/>
  <c r="G48" i="2"/>
  <c r="I48" i="2"/>
  <c r="E49" i="2"/>
  <c r="F49" i="2"/>
  <c r="G49" i="2"/>
  <c r="I49" i="2"/>
  <c r="E51" i="2"/>
  <c r="F51" i="2"/>
  <c r="G51" i="2"/>
  <c r="E52" i="2"/>
  <c r="F52" i="2"/>
  <c r="G52" i="2"/>
  <c r="I52" i="2"/>
  <c r="E53" i="2"/>
  <c r="F53" i="2"/>
  <c r="G53" i="2"/>
  <c r="I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58" i="2"/>
  <c r="F58" i="2"/>
  <c r="G58" i="2"/>
  <c r="I58" i="2"/>
  <c r="E59" i="2"/>
  <c r="F59" i="2"/>
  <c r="G59" i="2"/>
  <c r="I59" i="2"/>
  <c r="E60" i="2"/>
  <c r="F60" i="2"/>
  <c r="G60" i="2"/>
  <c r="I60" i="2"/>
  <c r="E61" i="2"/>
  <c r="F61" i="2"/>
  <c r="G61" i="2"/>
  <c r="I61" i="2"/>
  <c r="E62" i="2"/>
  <c r="F62" i="2"/>
  <c r="G62" i="2"/>
  <c r="I62" i="2"/>
  <c r="E63" i="2"/>
  <c r="F63" i="2"/>
  <c r="G63" i="2"/>
  <c r="I63" i="2"/>
  <c r="E64" i="2"/>
  <c r="F64" i="2"/>
  <c r="G64" i="2"/>
  <c r="I64" i="2"/>
  <c r="E74" i="2"/>
  <c r="F74" i="2"/>
  <c r="G74" i="2"/>
  <c r="I74" i="2"/>
  <c r="E75" i="2"/>
  <c r="F75" i="2"/>
  <c r="G75" i="2"/>
  <c r="I75" i="2"/>
  <c r="E76" i="2"/>
  <c r="F76" i="2"/>
  <c r="G76" i="2"/>
  <c r="I76" i="2"/>
  <c r="D9" i="2"/>
  <c r="C9" i="2"/>
  <c r="E77" i="2"/>
  <c r="F77" i="2"/>
  <c r="G77" i="2"/>
  <c r="K77" i="2"/>
  <c r="E65" i="2"/>
  <c r="F65" i="2"/>
  <c r="G65" i="2"/>
  <c r="E66" i="2"/>
  <c r="F66" i="2"/>
  <c r="G66" i="2"/>
  <c r="J66" i="2"/>
  <c r="E67" i="2"/>
  <c r="F67" i="2"/>
  <c r="G67" i="2"/>
  <c r="J67" i="2"/>
  <c r="E68" i="2"/>
  <c r="F68" i="2"/>
  <c r="G68" i="2"/>
  <c r="J68" i="2"/>
  <c r="E69" i="2"/>
  <c r="F69" i="2"/>
  <c r="G69" i="2"/>
  <c r="J69" i="2"/>
  <c r="E70" i="2"/>
  <c r="F70" i="2"/>
  <c r="G70" i="2"/>
  <c r="J70" i="2"/>
  <c r="E71" i="2"/>
  <c r="F71" i="2"/>
  <c r="G71" i="2"/>
  <c r="J71" i="2"/>
  <c r="E72" i="2"/>
  <c r="F72" i="2"/>
  <c r="G72" i="2"/>
  <c r="K72" i="2"/>
  <c r="E80" i="2"/>
  <c r="F80" i="2"/>
  <c r="G80" i="2"/>
  <c r="C50" i="2"/>
  <c r="E50" i="2"/>
  <c r="F50" i="2"/>
  <c r="Q84" i="2"/>
  <c r="Q83" i="2"/>
  <c r="Q82" i="2"/>
  <c r="Q76" i="2"/>
  <c r="Q75" i="2"/>
  <c r="Q74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I51" i="2"/>
  <c r="Q49" i="2"/>
  <c r="Q48" i="2"/>
  <c r="Q47" i="2"/>
  <c r="Q46" i="2"/>
  <c r="Q45" i="2"/>
  <c r="Q44" i="2"/>
  <c r="Q43" i="2"/>
  <c r="Q42" i="2"/>
  <c r="H42" i="2"/>
  <c r="Q41" i="2"/>
  <c r="Q40" i="2"/>
  <c r="Q39" i="2"/>
  <c r="Q38" i="2"/>
  <c r="Q37" i="2"/>
  <c r="Q36" i="2"/>
  <c r="Q35" i="2"/>
  <c r="Q34" i="2"/>
  <c r="H34" i="2"/>
  <c r="Q33" i="2"/>
  <c r="Q32" i="2"/>
  <c r="Q31" i="2"/>
  <c r="Q30" i="2"/>
  <c r="Q29" i="2"/>
  <c r="Q28" i="2"/>
  <c r="Q27" i="2"/>
  <c r="Q26" i="2"/>
  <c r="H26" i="2"/>
  <c r="Q25" i="2"/>
  <c r="Q24" i="2"/>
  <c r="Q23" i="2"/>
  <c r="Q22" i="2"/>
  <c r="Q21" i="2"/>
  <c r="G28" i="3"/>
  <c r="C28" i="3"/>
  <c r="G27" i="3"/>
  <c r="C27" i="3"/>
  <c r="G78" i="3"/>
  <c r="C78" i="3"/>
  <c r="G26" i="3"/>
  <c r="C26" i="3"/>
  <c r="G25" i="3"/>
  <c r="C25" i="3"/>
  <c r="G77" i="3"/>
  <c r="C77" i="3"/>
  <c r="G76" i="3"/>
  <c r="C76" i="3"/>
  <c r="G75" i="3"/>
  <c r="C75" i="3"/>
  <c r="E75" i="3"/>
  <c r="G24" i="3"/>
  <c r="C24" i="3"/>
  <c r="G23" i="3"/>
  <c r="C23" i="3"/>
  <c r="E23" i="3"/>
  <c r="G22" i="3"/>
  <c r="C22" i="3"/>
  <c r="E22" i="3"/>
  <c r="G21" i="3"/>
  <c r="C21" i="3"/>
  <c r="G20" i="3"/>
  <c r="C20" i="3"/>
  <c r="E20" i="3"/>
  <c r="G74" i="3"/>
  <c r="C74" i="3"/>
  <c r="E74" i="3"/>
  <c r="G73" i="3"/>
  <c r="C73" i="3"/>
  <c r="E73" i="3"/>
  <c r="G72" i="3"/>
  <c r="C72" i="3"/>
  <c r="E72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H28" i="3"/>
  <c r="F28" i="3"/>
  <c r="D28" i="3"/>
  <c r="B28" i="3"/>
  <c r="A28" i="3"/>
  <c r="H27" i="3"/>
  <c r="D27" i="3"/>
  <c r="B27" i="3"/>
  <c r="A27" i="3"/>
  <c r="H78" i="3"/>
  <c r="D78" i="3"/>
  <c r="B78" i="3"/>
  <c r="A78" i="3"/>
  <c r="H26" i="3"/>
  <c r="D26" i="3"/>
  <c r="B26" i="3"/>
  <c r="A26" i="3"/>
  <c r="H25" i="3"/>
  <c r="D25" i="3"/>
  <c r="B25" i="3"/>
  <c r="A25" i="3"/>
  <c r="H77" i="3"/>
  <c r="D77" i="3"/>
  <c r="B77" i="3"/>
  <c r="A77" i="3"/>
  <c r="H76" i="3"/>
  <c r="D76" i="3"/>
  <c r="B76" i="3"/>
  <c r="A76" i="3"/>
  <c r="H75" i="3"/>
  <c r="D75" i="3"/>
  <c r="B75" i="3"/>
  <c r="A7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74" i="3"/>
  <c r="D74" i="3"/>
  <c r="B74" i="3"/>
  <c r="A74" i="3"/>
  <c r="H73" i="3"/>
  <c r="D73" i="3"/>
  <c r="B73" i="3"/>
  <c r="A73" i="3"/>
  <c r="H72" i="3"/>
  <c r="D72" i="3"/>
  <c r="B72" i="3"/>
  <c r="A72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Q90" i="2"/>
  <c r="Q77" i="2"/>
  <c r="Q85" i="2"/>
  <c r="Q87" i="2"/>
  <c r="Q89" i="2"/>
  <c r="Q86" i="2"/>
  <c r="F16" i="2"/>
  <c r="F17" i="2" s="1"/>
  <c r="C17" i="2"/>
  <c r="K80" i="2"/>
  <c r="Q80" i="2"/>
  <c r="Q81" i="2"/>
  <c r="Q79" i="2"/>
  <c r="Q50" i="2"/>
  <c r="J65" i="2"/>
  <c r="Q65" i="2"/>
  <c r="Q66" i="2"/>
  <c r="Q67" i="2"/>
  <c r="Q68" i="2"/>
  <c r="Q69" i="2"/>
  <c r="Q70" i="2"/>
  <c r="Q71" i="2"/>
  <c r="Q72" i="2"/>
  <c r="Q73" i="2"/>
  <c r="Q78" i="2"/>
  <c r="E25" i="1"/>
  <c r="F25" i="1"/>
  <c r="E30" i="1"/>
  <c r="F30" i="1"/>
  <c r="Q22" i="1"/>
  <c r="Q23" i="1"/>
  <c r="Q24" i="1"/>
  <c r="Q25" i="1"/>
  <c r="Q26" i="1"/>
  <c r="Q27" i="1"/>
  <c r="Q28" i="1"/>
  <c r="Q29" i="1"/>
  <c r="Q30" i="1"/>
  <c r="Q31" i="1"/>
  <c r="C21" i="1"/>
  <c r="G21" i="1"/>
  <c r="C7" i="1"/>
  <c r="E26" i="1"/>
  <c r="F26" i="1"/>
  <c r="C8" i="1"/>
  <c r="E21" i="1"/>
  <c r="F21" i="1"/>
  <c r="C18" i="1"/>
  <c r="Q21" i="1"/>
  <c r="E21" i="3"/>
  <c r="E28" i="3"/>
  <c r="H21" i="1"/>
  <c r="E24" i="3"/>
  <c r="E31" i="1"/>
  <c r="F31" i="1"/>
  <c r="G31" i="1"/>
  <c r="J31" i="1"/>
  <c r="G25" i="1"/>
  <c r="I25" i="1"/>
  <c r="E23" i="1"/>
  <c r="F23" i="1"/>
  <c r="G23" i="1"/>
  <c r="I23" i="1"/>
  <c r="G28" i="1"/>
  <c r="I28" i="1"/>
  <c r="G30" i="1"/>
  <c r="I30" i="1"/>
  <c r="E28" i="1"/>
  <c r="F28" i="1"/>
  <c r="E89" i="2"/>
  <c r="F89" i="2"/>
  <c r="G89" i="2"/>
  <c r="J89" i="2"/>
  <c r="E93" i="2"/>
  <c r="F93" i="2"/>
  <c r="G93" i="2"/>
  <c r="K93" i="2"/>
  <c r="E86" i="2"/>
  <c r="F86" i="2"/>
  <c r="G86" i="2"/>
  <c r="K86" i="2"/>
  <c r="E92" i="2"/>
  <c r="F92" i="2"/>
  <c r="G92" i="2"/>
  <c r="K92" i="2"/>
  <c r="E27" i="1"/>
  <c r="F27" i="1"/>
  <c r="G27" i="1"/>
  <c r="I27" i="1"/>
  <c r="E22" i="1"/>
  <c r="F22" i="1"/>
  <c r="G22" i="1"/>
  <c r="I22" i="1"/>
  <c r="E78" i="2"/>
  <c r="F78" i="2"/>
  <c r="G78" i="2"/>
  <c r="K78" i="2"/>
  <c r="E84" i="2"/>
  <c r="F84" i="2"/>
  <c r="G84" i="2"/>
  <c r="K84" i="2"/>
  <c r="E88" i="2"/>
  <c r="F88" i="2"/>
  <c r="G88" i="2"/>
  <c r="I88" i="2"/>
  <c r="G26" i="1"/>
  <c r="I26" i="1"/>
  <c r="E24" i="1"/>
  <c r="F24" i="1"/>
  <c r="G24" i="1"/>
  <c r="I24" i="1"/>
  <c r="E81" i="2"/>
  <c r="F81" i="2"/>
  <c r="G81" i="2"/>
  <c r="J81" i="2"/>
  <c r="E85" i="2"/>
  <c r="F85" i="2"/>
  <c r="G85" i="2"/>
  <c r="J85" i="2"/>
  <c r="G94" i="2"/>
  <c r="K94" i="2"/>
  <c r="G95" i="2"/>
  <c r="K95" i="2"/>
  <c r="G22" i="2"/>
  <c r="H22" i="2"/>
  <c r="G79" i="2"/>
  <c r="K79" i="2"/>
  <c r="G73" i="2"/>
  <c r="G91" i="2"/>
  <c r="K91" i="2"/>
  <c r="E90" i="2"/>
  <c r="F90" i="2"/>
  <c r="G90" i="2"/>
  <c r="J90" i="2"/>
  <c r="E29" i="1"/>
  <c r="F29" i="1"/>
  <c r="G29" i="1"/>
  <c r="I29" i="1"/>
  <c r="E83" i="2"/>
  <c r="F83" i="2"/>
  <c r="G83" i="2"/>
  <c r="K83" i="2"/>
  <c r="E87" i="2"/>
  <c r="F87" i="2"/>
  <c r="G87" i="2"/>
  <c r="K87" i="2"/>
  <c r="E94" i="2"/>
  <c r="F94" i="2"/>
  <c r="E76" i="3"/>
  <c r="C12" i="1"/>
  <c r="C16" i="1"/>
  <c r="D18" i="1"/>
  <c r="C11" i="1"/>
  <c r="E27" i="3"/>
  <c r="E25" i="3"/>
  <c r="K73" i="2"/>
  <c r="E78" i="3"/>
  <c r="E77" i="3"/>
  <c r="E26" i="3"/>
  <c r="O29" i="1"/>
  <c r="O27" i="1"/>
  <c r="O21" i="1"/>
  <c r="O30" i="1"/>
  <c r="O25" i="1"/>
  <c r="O28" i="1"/>
  <c r="O24" i="1"/>
  <c r="O22" i="1"/>
  <c r="O23" i="1"/>
  <c r="O31" i="1"/>
  <c r="O26" i="1"/>
  <c r="C12" i="2"/>
  <c r="C11" i="2"/>
  <c r="O103" i="2" l="1"/>
  <c r="O102" i="2"/>
  <c r="O101" i="2"/>
  <c r="O100" i="2"/>
  <c r="O98" i="2"/>
  <c r="O97" i="2"/>
  <c r="O96" i="2"/>
  <c r="O99" i="2"/>
  <c r="O68" i="2"/>
  <c r="O46" i="2"/>
  <c r="O35" i="2"/>
  <c r="O40" i="2"/>
  <c r="O62" i="2"/>
  <c r="O51" i="2"/>
  <c r="O64" i="2"/>
  <c r="O83" i="2"/>
  <c r="O80" i="2"/>
  <c r="O78" i="2"/>
  <c r="O32" i="2"/>
  <c r="O42" i="2"/>
  <c r="O56" i="2"/>
  <c r="O70" i="2"/>
  <c r="O57" i="2"/>
  <c r="O75" i="2"/>
  <c r="O38" i="2"/>
  <c r="O27" i="2"/>
  <c r="O54" i="2"/>
  <c r="O61" i="2"/>
  <c r="O58" i="2"/>
  <c r="O90" i="2"/>
  <c r="O30" i="2"/>
  <c r="O85" i="2"/>
  <c r="O24" i="2"/>
  <c r="O45" i="2"/>
  <c r="O34" i="2"/>
  <c r="O47" i="2"/>
  <c r="O53" i="2"/>
  <c r="O73" i="2"/>
  <c r="O43" i="2"/>
  <c r="O49" i="2"/>
  <c r="O79" i="2"/>
  <c r="O22" i="2"/>
  <c r="O81" i="2"/>
  <c r="O86" i="2"/>
  <c r="O37" i="2"/>
  <c r="O26" i="2"/>
  <c r="O39" i="2"/>
  <c r="O44" i="2"/>
  <c r="O65" i="2"/>
  <c r="O60" i="2"/>
  <c r="O21" i="2"/>
  <c r="O28" i="2"/>
  <c r="O89" i="2"/>
  <c r="O48" i="2"/>
  <c r="O93" i="2"/>
  <c r="C15" i="2"/>
  <c r="O41" i="2"/>
  <c r="O91" i="2"/>
  <c r="O82" i="2"/>
  <c r="O71" i="2"/>
  <c r="O66" i="2"/>
  <c r="O29" i="2"/>
  <c r="O87" i="2"/>
  <c r="O31" i="2"/>
  <c r="O36" i="2"/>
  <c r="O88" i="2"/>
  <c r="O94" i="2"/>
  <c r="O23" i="2"/>
  <c r="O25" i="2"/>
  <c r="O63" i="2"/>
  <c r="O52" i="2"/>
  <c r="O92" i="2"/>
  <c r="O95" i="2"/>
  <c r="O77" i="2"/>
  <c r="O84" i="2"/>
  <c r="O69" i="2"/>
  <c r="O33" i="2"/>
  <c r="O74" i="2"/>
  <c r="O72" i="2"/>
  <c r="O76" i="2"/>
  <c r="O67" i="2"/>
  <c r="O55" i="2"/>
  <c r="O59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<sst xmlns="http://schemas.openxmlformats.org/spreadsheetml/2006/main" count="814" uniqueCount="331">
  <si>
    <t>IBVS 6244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</si>
  <si>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</si>
  <si>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</si>
  <si>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</si>
  <si>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</si>
  <si>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</si>
  <si>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</si>
  <si>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</si>
  <si>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</si>
  <si>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</si>
  <si>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</si>
  <si>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</si>
  <si>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</si>
  <si>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</si>
  <si>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</si>
  <si>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</si>
  <si>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</si>
  <si>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</si>
  <si>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</si>
  <si>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</si>
  <si>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</si>
  <si>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</si>
  <si>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</si>
  <si>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</si>
  <si>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</si>
  <si>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</si>
  <si>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</si>
  <si>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</si>
  <si>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</si>
  <si>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</si>
  <si>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</si>
  <si>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</si>
  <si>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</si>
  <si>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</si>
  <si>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V753 Cyg</t>
  </si>
  <si>
    <t>IBVS 5016</t>
  </si>
  <si>
    <t>IBVS 5027</t>
  </si>
  <si>
    <t>Krajci</t>
  </si>
  <si>
    <t>IBVS 5592</t>
  </si>
  <si>
    <t>IBVS 5677</t>
  </si>
  <si>
    <t>I</t>
  </si>
  <si>
    <t>EA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</si>
  <si>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</si>
  <si>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</si>
  <si>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</si>
  <si>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</si>
  <si>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</si>
  <si>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</si>
  <si>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5781</t>
  </si>
  <si>
    <t>IBVS 5761</t>
  </si>
  <si>
    <t>Start of linear fit &gt;&gt;&gt;&gt;&gt;&gt;&gt;&gt;&gt;&gt;&gt;&gt;&gt;&gt;&gt;&gt;&gt;&gt;&gt;&gt;&gt;</t>
  </si>
  <si>
    <t>Add cycle</t>
  </si>
  <si>
    <t>Old Cycle</t>
  </si>
  <si>
    <t>IBVS 5988</t>
  </si>
  <si>
    <t>IBVS 5959</t>
  </si>
  <si>
    <t>IBVS 6010</t>
  </si>
  <si>
    <t>2013JAVSO..41..122</t>
  </si>
  <si>
    <t>V0753 Cyg / GSC 3547-1131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</si>
  <si>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</si>
  <si>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</si>
  <si>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</si>
  <si>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</si>
  <si>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</si>
  <si>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</si>
  <si>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</si>
  <si>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</si>
  <si>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</si>
  <si>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</si>
  <si>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</si>
  <si>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</si>
  <si>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</si>
  <si>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</si>
  <si>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2433804.50 </t>
  </si>
  <si>
    <t> 07.06.1951 00:00 </t>
  </si>
  <si>
    <t> 0.03 </t>
  </si>
  <si>
    <t>P </t>
  </si>
  <si>
    <t> W.Zessewitsch </t>
  </si>
  <si>
    <t> AC 164.15 </t>
  </si>
  <si>
    <t>2433824.44 </t>
  </si>
  <si>
    <t> 26.06.1951 22:33 </t>
  </si>
  <si>
    <t> -0.03 </t>
  </si>
  <si>
    <t>2433836.37 </t>
  </si>
  <si>
    <t> 08.07.1951 20:52 </t>
  </si>
  <si>
    <t> -0.00 </t>
  </si>
  <si>
    <t>V </t>
  </si>
  <si>
    <t>2433927.31 </t>
  </si>
  <si>
    <t> 07.10.1951 19:26 </t>
  </si>
  <si>
    <t> -0.02 </t>
  </si>
  <si>
    <t>2433946.36 </t>
  </si>
  <si>
    <t> 26.10.1951 20:38 </t>
  </si>
  <si>
    <t> -0.01 </t>
  </si>
  <si>
    <t>2433948.33 </t>
  </si>
  <si>
    <t> 28.10.1951 19:55 </t>
  </si>
  <si>
    <t> 0.05 </t>
  </si>
  <si>
    <t>2433978.28 </t>
  </si>
  <si>
    <t> 27.11.1951 18:43 </t>
  </si>
  <si>
    <t> 0.00 </t>
  </si>
  <si>
    <t>2434196.37 </t>
  </si>
  <si>
    <t> 02.07.1952 20:52 </t>
  </si>
  <si>
    <t>2434216.34 </t>
  </si>
  <si>
    <t> 22.07.1952 20:09 </t>
  </si>
  <si>
    <t>2434276.358 </t>
  </si>
  <si>
    <t> 20.09.1952 20:35 </t>
  </si>
  <si>
    <t> -0.013 </t>
  </si>
  <si>
    <t> P.F.Vavryniuk </t>
  </si>
  <si>
    <t> CLVO 39.26 </t>
  </si>
  <si>
    <t>2434277.34 </t>
  </si>
  <si>
    <t> 21.09.1952 20:09 </t>
  </si>
  <si>
    <t> 0.02 </t>
  </si>
  <si>
    <t>2434327.324 </t>
  </si>
  <si>
    <t> 10.11.1952 19:46 </t>
  </si>
  <si>
    <t> 0.001 </t>
  </si>
  <si>
    <t>2434510.177 </t>
  </si>
  <si>
    <t> 12.05.1953 16:14 </t>
  </si>
  <si>
    <t> -0.002 </t>
  </si>
  <si>
    <t> V.M.Tabachnik </t>
  </si>
  <si>
    <t> AC 167.22 </t>
  </si>
  <si>
    <t>2434513.49 </t>
  </si>
  <si>
    <t> 15.05.1953 23:45 </t>
  </si>
  <si>
    <t>2434627.34 </t>
  </si>
  <si>
    <t> 06.09.1953 20:09 </t>
  </si>
  <si>
    <t>2434634.44 </t>
  </si>
  <si>
    <t> 13.09.1953 22:33 </t>
  </si>
  <si>
    <t>2434635.46 </t>
  </si>
  <si>
    <t> 14.09.1953 23:02 </t>
  </si>
  <si>
    <t> 0.04 </t>
  </si>
  <si>
    <t>2434708.250 </t>
  </si>
  <si>
    <t> 26.11.1953 18:00 </t>
  </si>
  <si>
    <t> -0.023 </t>
  </si>
  <si>
    <t>2434866.374 </t>
  </si>
  <si>
    <t> 03.05.1954 20:58 </t>
  </si>
  <si>
    <t> 0.007 </t>
  </si>
  <si>
    <t>2434954.46 </t>
  </si>
  <si>
    <t> 30.07.1954 23:02 </t>
  </si>
  <si>
    <t>2435363.51 </t>
  </si>
  <si>
    <t> 13.09.1955 00:14 </t>
  </si>
  <si>
    <t>2435364.45 </t>
  </si>
  <si>
    <t> 13.09.1955 22:48 </t>
  </si>
  <si>
    <t>2435624.430 </t>
  </si>
  <si>
    <t> 30.05.1956 22:19 </t>
  </si>
  <si>
    <t> -0.027 </t>
  </si>
  <si>
    <t>2435924.463 </t>
  </si>
  <si>
    <t> 26.03.1957 23:06 </t>
  </si>
  <si>
    <t> 0.008 </t>
  </si>
  <si>
    <t>2435955.404 </t>
  </si>
  <si>
    <t> 26.04.1957 21:41 </t>
  </si>
  <si>
    <t>2436867.300 </t>
  </si>
  <si>
    <t> 25.10.1959 19:12 </t>
  </si>
  <si>
    <t> -0.005 </t>
  </si>
  <si>
    <t> K.Häussler </t>
  </si>
  <si>
    <t> HABZ 30 </t>
  </si>
  <si>
    <t>2437575.397 </t>
  </si>
  <si>
    <t> 02.10.1961 21:31 </t>
  </si>
  <si>
    <t> 0.002 </t>
  </si>
  <si>
    <t>2437586.362 </t>
  </si>
  <si>
    <t> 13.10.1961 20:41 </t>
  </si>
  <si>
    <t> 0.015 </t>
  </si>
  <si>
    <t>2437885.409 </t>
  </si>
  <si>
    <t> 08.08.1962 21:48 </t>
  </si>
  <si>
    <t> 0.016 </t>
  </si>
  <si>
    <t>2438232.531 </t>
  </si>
  <si>
    <t> 22.07.1963 00:44 </t>
  </si>
  <si>
    <t>2438233.486 </t>
  </si>
  <si>
    <t> 22.07.1963 23:39 </t>
  </si>
  <si>
    <t>2447671.555 </t>
  </si>
  <si>
    <t> 25.05.1989 01:19 </t>
  </si>
  <si>
    <t> 0.043 </t>
  </si>
  <si>
    <t> Moschner&amp;Kleikamp </t>
  </si>
  <si>
    <t>BAVM 56 </t>
  </si>
  <si>
    <t>2447713.454 </t>
  </si>
  <si>
    <t> 05.07.1989 22:53 </t>
  </si>
  <si>
    <t> 0.038 </t>
  </si>
  <si>
    <t>2447744.408 </t>
  </si>
  <si>
    <t> 05.08.1989 21:47 </t>
  </si>
  <si>
    <t> 0.040 </t>
  </si>
  <si>
    <t>2447753.453 </t>
  </si>
  <si>
    <t> 14.08.1989 22:52 </t>
  </si>
  <si>
    <t> 0.037 </t>
  </si>
  <si>
    <t>2447754.404 </t>
  </si>
  <si>
    <t> 15.08.1989 21:41 </t>
  </si>
  <si>
    <t> 0.036 </t>
  </si>
  <si>
    <t>2447775.360 </t>
  </si>
  <si>
    <t> 05.09.1989 20:38 </t>
  </si>
  <si>
    <t>2447991.552 </t>
  </si>
  <si>
    <t> 10.04.1990 01:14 </t>
  </si>
  <si>
    <t>2448472.499 </t>
  </si>
  <si>
    <t> 03.08.1991 23:58 </t>
  </si>
  <si>
    <t> 0.041 </t>
  </si>
  <si>
    <t>BAVM 79 </t>
  </si>
  <si>
    <t>2448762.498 </t>
  </si>
  <si>
    <t> 19.05.1992 23:57 </t>
  </si>
  <si>
    <t> 0.042 </t>
  </si>
  <si>
    <t> W.Moschner </t>
  </si>
  <si>
    <t>BAVM 62 </t>
  </si>
  <si>
    <t>2448763.454 </t>
  </si>
  <si>
    <t> 20.05.1992 22:53 </t>
  </si>
  <si>
    <t> 0.046 </t>
  </si>
  <si>
    <t>2448802.477 </t>
  </si>
  <si>
    <t> 28.06.1992 23:26 </t>
  </si>
  <si>
    <t> 0.021 </t>
  </si>
  <si>
    <t>BAVM 131 </t>
  </si>
  <si>
    <t>2449132.4980 </t>
  </si>
  <si>
    <t> 24.05.1993 23:57 </t>
  </si>
  <si>
    <t> 0.0447 </t>
  </si>
  <si>
    <t>E </t>
  </si>
  <si>
    <t>o</t>
  </si>
  <si>
    <t>BAVM 68 </t>
  </si>
  <si>
    <t>2449844.4016 </t>
  </si>
  <si>
    <t> 06.05.1995 21:38 </t>
  </si>
  <si>
    <t> 0.0487 </t>
  </si>
  <si>
    <t>BAVM 132 </t>
  </si>
  <si>
    <t>2450180.5888 </t>
  </si>
  <si>
    <t> 07.04.1996 02:07 </t>
  </si>
  <si>
    <t> 0.0479 </t>
  </si>
  <si>
    <t>2450190.5895 </t>
  </si>
  <si>
    <t> 17.04.1996 02:08 </t>
  </si>
  <si>
    <t> 0.0486 </t>
  </si>
  <si>
    <t>2450192.4940 </t>
  </si>
  <si>
    <t> 18.04.1996 23:51 </t>
  </si>
  <si>
    <t> 0.0484 </t>
  </si>
  <si>
    <t>2450376.3021 </t>
  </si>
  <si>
    <t> 19.10.1996 19:15 </t>
  </si>
  <si>
    <t> 0.0483 </t>
  </si>
  <si>
    <t>2450603.4448 </t>
  </si>
  <si>
    <t> 03.06.1997 22:40 </t>
  </si>
  <si>
    <t> 0.0498 </t>
  </si>
  <si>
    <t>2450705.3497 </t>
  </si>
  <si>
    <t> 13.09.1997 20:23 </t>
  </si>
  <si>
    <t> 0.0507 </t>
  </si>
  <si>
    <t>2451274.8715 </t>
  </si>
  <si>
    <t> 06.04.1999 08:54 </t>
  </si>
  <si>
    <t> 0.0528 </t>
  </si>
  <si>
    <t>?</t>
  </si>
  <si>
    <t> R.Diethelm </t>
  </si>
  <si>
    <t>IBVS 5027 </t>
  </si>
  <si>
    <t>2451304.8680 </t>
  </si>
  <si>
    <t> 06.05.1999 08:49 </t>
  </si>
  <si>
    <t> 0.0496 </t>
  </si>
  <si>
    <t>2452113.4401 </t>
  </si>
  <si>
    <t> 22.07.2001 22:33 </t>
  </si>
  <si>
    <t> 0.0561 </t>
  </si>
  <si>
    <t> BBS 126 </t>
  </si>
  <si>
    <t>2452196.2968 </t>
  </si>
  <si>
    <t> 13.10.2001 19:07 </t>
  </si>
  <si>
    <t> 0.0563 </t>
  </si>
  <si>
    <t>2452483.4392 </t>
  </si>
  <si>
    <t> 27.07.2002 22:32 </t>
  </si>
  <si>
    <t> 0.0579 </t>
  </si>
  <si>
    <t> BBS 128 </t>
  </si>
  <si>
    <t>2452486.7722 </t>
  </si>
  <si>
    <t> 31.07.2002 06:31 </t>
  </si>
  <si>
    <t> 0.0576 </t>
  </si>
  <si>
    <t>C </t>
  </si>
  <si>
    <t> S.Dvorak </t>
  </si>
  <si>
    <t> JAAVSO 41;122 </t>
  </si>
  <si>
    <t>2452889.1513 </t>
  </si>
  <si>
    <t> 06.09.2003 15:37 </t>
  </si>
  <si>
    <t> 0.0587 </t>
  </si>
  <si>
    <t> T.Krajci </t>
  </si>
  <si>
    <t>IBVS 5592 </t>
  </si>
  <si>
    <t>2453638.6726 </t>
  </si>
  <si>
    <t> 25.09.2005 04:08 </t>
  </si>
  <si>
    <t> 0.0617 </t>
  </si>
  <si>
    <t> S. Dvorak </t>
  </si>
  <si>
    <t>IBVS 5677 </t>
  </si>
  <si>
    <t>2453932.4807 </t>
  </si>
  <si>
    <t> 15.07.2006 23:32 </t>
  </si>
  <si>
    <t> 0.0624 </t>
  </si>
  <si>
    <t> R. Diethelm </t>
  </si>
  <si>
    <t> BBS 133 (=IBVS 5781) </t>
  </si>
  <si>
    <t>2454002.4808 </t>
  </si>
  <si>
    <t> 23.09.2006 23:32 </t>
  </si>
  <si>
    <t> 0.0630 </t>
  </si>
  <si>
    <t>-I</t>
  </si>
  <si>
    <t> F. Agerer </t>
  </si>
  <si>
    <t>BAVM 183 </t>
  </si>
  <si>
    <t>2454310.1001 </t>
  </si>
  <si>
    <t> 28.07.2007 14:24 </t>
  </si>
  <si>
    <t>43062</t>
  </si>
  <si>
    <t> 0.0655 </t>
  </si>
  <si>
    <t> H.Itoh </t>
  </si>
  <si>
    <t>VSB 46 </t>
  </si>
  <si>
    <t>2454340.0990 </t>
  </si>
  <si>
    <t> 27.08.2007 14:22 </t>
  </si>
  <si>
    <t>43125</t>
  </si>
  <si>
    <t> 0.0646 </t>
  </si>
  <si>
    <t> K.Nakajima </t>
  </si>
  <si>
    <t>2455011.0490 </t>
  </si>
  <si>
    <t> 28.06.2009 13:10 </t>
  </si>
  <si>
    <t>44534</t>
  </si>
  <si>
    <t> 0.0671 </t>
  </si>
  <si>
    <t> K.Shiokawa </t>
  </si>
  <si>
    <t>VSB 50 </t>
  </si>
  <si>
    <t>2455279.6187 </t>
  </si>
  <si>
    <t> 24.03.2010 02:50 </t>
  </si>
  <si>
    <t>45098</t>
  </si>
  <si>
    <t> 0.0674 </t>
  </si>
  <si>
    <t> W.Moschner &amp; P.Frank </t>
  </si>
  <si>
    <t>BAVM 214 </t>
  </si>
  <si>
    <t>2455321.5236 </t>
  </si>
  <si>
    <t> 05.05.2010 00:33 </t>
  </si>
  <si>
    <t>45186</t>
  </si>
  <si>
    <t> 0.0678 </t>
  </si>
  <si>
    <t>m</t>
  </si>
  <si>
    <t> S.Dogru et al. </t>
  </si>
  <si>
    <t>IBVS 5988 </t>
  </si>
  <si>
    <t>2455671.5208 </t>
  </si>
  <si>
    <t> 20.04.2011 00:29 </t>
  </si>
  <si>
    <t>45921</t>
  </si>
  <si>
    <t> 0.0676 </t>
  </si>
  <si>
    <t> P.Frank </t>
  </si>
  <si>
    <t>BAVM 225 </t>
  </si>
  <si>
    <t>2455674.3797 </t>
  </si>
  <si>
    <t> 22.04.2011 21:06 </t>
  </si>
  <si>
    <t>45927</t>
  </si>
  <si>
    <t> 0.0694 </t>
  </si>
  <si>
    <t> F.Agerer </t>
  </si>
  <si>
    <t>BAVM 220 </t>
  </si>
  <si>
    <t>2456933.4238 </t>
  </si>
  <si>
    <t> 02.10.2014 22:10 </t>
  </si>
  <si>
    <t>48571</t>
  </si>
  <si>
    <t> 0.0750 </t>
  </si>
  <si>
    <t>BAVM 239 </t>
  </si>
  <si>
    <t>VSB_061</t>
  </si>
  <si>
    <t>Rc</t>
  </si>
  <si>
    <t>OEJV 0179</t>
  </si>
  <si>
    <t>RHN 2020</t>
  </si>
  <si>
    <t>JBAV, 60</t>
  </si>
  <si>
    <t>JAAVSO 51, 138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</si>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</sst>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6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9" fillId="0" borderId="0" xfId="0" applyFont="1" applyAlignment="1">
      <alignment horizontal="right"/>
    </xf>
    <xf numFmtId="0" fontId="3" fillId="0" borderId="0" xfId="0" applyFont="1" applyAlignment="1"/>
    <xf numFmtId="165" fontId="0" fillId="0" borderId="0" xfId="0" applyNumberForma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166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8" xfId="0" applyBorder="1">
      <alignment vertical="top"/>
    </xf>
    <xf numFmtId="0" fontId="3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35" fillId="0" borderId="0" xfId="43" applyFont="1" applyAlignment="1">
      <alignment horizontal="left"/>
    </xf>
    <xf numFmtId="0" fontId="17" fillId="0" borderId="0" xfId="43" applyFont="1"/>
    <xf numFmtId="0" fontId="17" fillId="0" borderId="0" xfId="43" applyFont="1" applyAlignment="1">
      <alignment horizontal="center"/>
    </xf>
    <xf numFmtId="0" fontId="17" fillId="0" borderId="0" xfId="43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5" fillId="0" borderId="0" xfId="43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V0753 Cyg - O-C Diagr.</a:t>
            </a:r>
          </a:p>
        </c:rich>
      </c:tx>
      <c:layout>
        <c:manualLayout>
          <c:xMode val="edge"/>
          <c:yMode val="edge"/>
          <c:x val="0.381945027704870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1417848602"/>
          <c:y val="0.14723926380368099"/>
          <c:w val="0.8236122282066897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2.9999999998835847E-2</c:v>
                </c:pt>
                <c:pt idx="1">
                  <c:v>-2.991366868809564E-2</c:v>
                </c:pt>
                <c:pt idx="2">
                  <c:v>-4.6241857635322958E-3</c:v>
                </c:pt>
                <c:pt idx="3">
                  <c:v>-1.6612536222964991E-2</c:v>
                </c:pt>
                <c:pt idx="4">
                  <c:v>-1.4149363538308535E-2</c:v>
                </c:pt>
                <c:pt idx="5">
                  <c:v>5.1096953728119843E-2</c:v>
                </c:pt>
                <c:pt idx="6">
                  <c:v>1.2264507022337057E-3</c:v>
                </c:pt>
                <c:pt idx="7">
                  <c:v>-3.0702221192768775E-3</c:v>
                </c:pt>
                <c:pt idx="8">
                  <c:v>-3.2983890807372518E-2</c:v>
                </c:pt>
                <c:pt idx="10">
                  <c:v>1.489826176839415E-2</c:v>
                </c:pt>
                <c:pt idx="13">
                  <c:v>-2.45583970026928E-2</c:v>
                </c:pt>
                <c:pt idx="14">
                  <c:v>1.6409059753641486E-2</c:v>
                </c:pt>
                <c:pt idx="15">
                  <c:v>-2.6417250483063981E-2</c:v>
                </c:pt>
                <c:pt idx="16">
                  <c:v>4.1205908142728731E-2</c:v>
                </c:pt>
                <c:pt idx="19">
                  <c:v>-5.0359494707663544E-3</c:v>
                </c:pt>
                <c:pt idx="20">
                  <c:v>-8.8931617210619152E-4</c:v>
                </c:pt>
                <c:pt idx="21">
                  <c:v>-1.3266157548059709E-2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D1-41AE-8210-D21BAE1558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1.6999999999999999E-3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1.6999999999999999E-3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-1.4724896864208858E-2</c:v>
                </c:pt>
                <c:pt idx="11">
                  <c:v>-8.8590994710102677E-4</c:v>
                </c:pt>
                <c:pt idx="12">
                  <c:v>-4.2394522170070559E-3</c:v>
                </c:pt>
                <c:pt idx="17">
                  <c:v>-2.562245635635918E-2</c:v>
                </c:pt>
                <c:pt idx="18">
                  <c:v>3.8218768895603716E-3</c:v>
                </c:pt>
                <c:pt idx="22">
                  <c:v>-3.2143850468855817E-2</c:v>
                </c:pt>
                <c:pt idx="23">
                  <c:v>2.1511192389880307E-3</c:v>
                </c:pt>
                <c:pt idx="24">
                  <c:v>-9.0962251560995355E-3</c:v>
                </c:pt>
                <c:pt idx="25">
                  <c:v>-1.392183311691042E-2</c:v>
                </c:pt>
                <c:pt idx="26">
                  <c:v>-9.1033887656521983E-3</c:v>
                </c:pt>
                <c:pt idx="27">
                  <c:v>3.5629355334094726E-3</c:v>
                </c:pt>
                <c:pt idx="28">
                  <c:v>4.234746600559447E-3</c:v>
                </c:pt>
                <c:pt idx="30">
                  <c:v>-1.5123931312700734E-2</c:v>
                </c:pt>
                <c:pt idx="31">
                  <c:v>-1.250077268196037E-2</c:v>
                </c:pt>
                <c:pt idx="32">
                  <c:v>2.0012900567962788E-3</c:v>
                </c:pt>
                <c:pt idx="33">
                  <c:v>-3.5797300515696406E-3</c:v>
                </c:pt>
                <c:pt idx="34">
                  <c:v>-1.8270744403707795E-3</c:v>
                </c:pt>
                <c:pt idx="35">
                  <c:v>-4.4070674193790182E-3</c:v>
                </c:pt>
                <c:pt idx="36">
                  <c:v>-5.7839087894535623E-3</c:v>
                </c:pt>
                <c:pt idx="37">
                  <c:v>-2.0744188368553296E-3</c:v>
                </c:pt>
                <c:pt idx="38">
                  <c:v>3.8259107532212511E-4</c:v>
                </c:pt>
                <c:pt idx="39">
                  <c:v>-2.9222987650427967E-3</c:v>
                </c:pt>
                <c:pt idx="40">
                  <c:v>-2.6704947231337428E-3</c:v>
                </c:pt>
                <c:pt idx="41">
                  <c:v>9.5266391144832596E-4</c:v>
                </c:pt>
                <c:pt idx="42">
                  <c:v>-2.3497832095017657E-2</c:v>
                </c:pt>
                <c:pt idx="43">
                  <c:v>-1.0733654198702425E-3</c:v>
                </c:pt>
                <c:pt idx="53">
                  <c:v>1.5131589389056899E-3</c:v>
                </c:pt>
                <c:pt idx="54">
                  <c:v>1.4279600873123854E-3</c:v>
                </c:pt>
                <c:pt idx="55">
                  <c:v>2.2102882358012721E-3</c:v>
                </c:pt>
                <c:pt idx="67">
                  <c:v>2.3338154787779786E-3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D1-41AE-8210-D21BAE1558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4">
                  <c:v>8.3771347999572754E-4</c:v>
                </c:pt>
                <c:pt idx="45">
                  <c:v>-9.8728873126674443E-4</c:v>
                </c:pt>
                <c:pt idx="46">
                  <c:v>-2.4412306811427698E-4</c:v>
                </c:pt>
                <c:pt idx="47">
                  <c:v>-4.9780580593505874E-4</c:v>
                </c:pt>
                <c:pt idx="48">
                  <c:v>-1.1281894403509796E-3</c:v>
                </c:pt>
                <c:pt idx="49">
                  <c:v>-3.0485524621326476E-4</c:v>
                </c:pt>
                <c:pt idx="50">
                  <c:v>2.7311859594192356E-4</c:v>
                </c:pt>
                <c:pt idx="60">
                  <c:v>2.7483094308990985E-3</c:v>
                </c:pt>
                <c:pt idx="64">
                  <c:v>3.3040376001736149E-3</c:v>
                </c:pt>
                <c:pt idx="68">
                  <c:v>4.1032913795788772E-3</c:v>
                </c:pt>
                <c:pt idx="69">
                  <c:v>6.0190055010025389E-3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D1-41AE-8210-D21BAE1558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1">
                  <c:v>7.2198171255877241E-4</c:v>
                </c:pt>
                <c:pt idx="52">
                  <c:v>-2.648521309311036E-3</c:v>
                </c:pt>
                <c:pt idx="56">
                  <c:v>1.8913434541900642E-3</c:v>
                </c:pt>
                <c:pt idx="57">
                  <c:v>1.7758663088898174E-3</c:v>
                </c:pt>
                <c:pt idx="58">
                  <c:v>2.5017112566274591E-3</c:v>
                </c:pt>
                <c:pt idx="59">
                  <c:v>2.3461498349206522E-3</c:v>
                </c:pt>
                <c:pt idx="61">
                  <c:v>4.3285482170176692E-3</c:v>
                </c:pt>
                <c:pt idx="62">
                  <c:v>3.3580451854504645E-3</c:v>
                </c:pt>
                <c:pt idx="63">
                  <c:v>3.8733028195565566E-3</c:v>
                </c:pt>
                <c:pt idx="65">
                  <c:v>3.6230174955562688E-3</c:v>
                </c:pt>
                <c:pt idx="66">
                  <c:v>3.6230174955562688E-3</c:v>
                </c:pt>
                <c:pt idx="70">
                  <c:v>6.8718296533916146E-3</c:v>
                </c:pt>
                <c:pt idx="71">
                  <c:v>5.4329198901541531E-3</c:v>
                </c:pt>
                <c:pt idx="72">
                  <c:v>5.4329199920175597E-3</c:v>
                </c:pt>
                <c:pt idx="73">
                  <c:v>5.8492398675298318E-3</c:v>
                </c:pt>
                <c:pt idx="74">
                  <c:v>6.783723205444403E-3</c:v>
                </c:pt>
                <c:pt idx="75">
                  <c:v>7.3311378218932077E-3</c:v>
                </c:pt>
                <c:pt idx="76">
                  <c:v>7.0387842060881667E-3</c:v>
                </c:pt>
                <c:pt idx="77">
                  <c:v>8.3314187359064817E-3</c:v>
                </c:pt>
                <c:pt idx="78">
                  <c:v>6.9399166750372387E-3</c:v>
                </c:pt>
                <c:pt idx="79">
                  <c:v>7.6831174446851946E-3</c:v>
                </c:pt>
                <c:pt idx="80">
                  <c:v>8.1780871405499056E-3</c:v>
                </c:pt>
                <c:pt idx="81">
                  <c:v>7.4938803081749938E-3</c:v>
                </c:pt>
                <c:pt idx="82">
                  <c:v>7.3520226942491718E-3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D1-41AE-8210-D21BAE1558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D1-41AE-8210-D21BAE1558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D1-41AE-8210-D21BAE1558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D1-41AE-8210-D21BAE1558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-1.673945279266625E-2</c:v>
                </c:pt>
                <c:pt idx="1">
                  <c:v>-1.6720430116150795E-2</c:v>
                </c:pt>
                <c:pt idx="2">
                  <c:v>-1.6709107094415407E-2</c:v>
                </c:pt>
                <c:pt idx="3">
                  <c:v>-1.6622599208357031E-2</c:v>
                </c:pt>
                <c:pt idx="4">
                  <c:v>-1.6604482373580406E-2</c:v>
                </c:pt>
                <c:pt idx="5">
                  <c:v>-1.6602670690102746E-2</c:v>
                </c:pt>
                <c:pt idx="6">
                  <c:v>-1.6574136675329563E-2</c:v>
                </c:pt>
                <c:pt idx="7">
                  <c:v>-1.636669891713723E-2</c:v>
                </c:pt>
                <c:pt idx="8">
                  <c:v>-1.6347676240621774E-2</c:v>
                </c:pt>
                <c:pt idx="9">
                  <c:v>-1.6290608211075412E-2</c:v>
                </c:pt>
                <c:pt idx="10">
                  <c:v>-1.6289702369336578E-2</c:v>
                </c:pt>
                <c:pt idx="11">
                  <c:v>-1.6242145678047944E-2</c:v>
                </c:pt>
                <c:pt idx="12">
                  <c:v>-1.6068224064192362E-2</c:v>
                </c:pt>
                <c:pt idx="13">
                  <c:v>-1.6065053618106451E-2</c:v>
                </c:pt>
                <c:pt idx="14">
                  <c:v>-1.5956805530316129E-2</c:v>
                </c:pt>
                <c:pt idx="15">
                  <c:v>-1.5950011717274896E-2</c:v>
                </c:pt>
                <c:pt idx="16">
                  <c:v>-1.5949105875536065E-2</c:v>
                </c:pt>
                <c:pt idx="17">
                  <c:v>-1.5879808982515481E-2</c:v>
                </c:pt>
                <c:pt idx="18">
                  <c:v>-1.5729439253869507E-2</c:v>
                </c:pt>
                <c:pt idx="19">
                  <c:v>-1.5645648893027626E-2</c:v>
                </c:pt>
                <c:pt idx="20">
                  <c:v>-1.5256589866199642E-2</c:v>
                </c:pt>
                <c:pt idx="21">
                  <c:v>-1.525568402446081E-2</c:v>
                </c:pt>
                <c:pt idx="22">
                  <c:v>-1.5008389229759904E-2</c:v>
                </c:pt>
                <c:pt idx="23">
                  <c:v>-1.4723049082028089E-2</c:v>
                </c:pt>
                <c:pt idx="24">
                  <c:v>-1.4693609225516076E-2</c:v>
                </c:pt>
                <c:pt idx="25">
                  <c:v>-1.3826265760585241E-2</c:v>
                </c:pt>
                <c:pt idx="26">
                  <c:v>-1.3152772427764274E-2</c:v>
                </c:pt>
                <c:pt idx="27">
                  <c:v>-1.3142355247767716E-2</c:v>
                </c:pt>
                <c:pt idx="28">
                  <c:v>-1.2857920941774731E-2</c:v>
                </c:pt>
                <c:pt idx="30">
                  <c:v>-1.2527741627970775E-2</c:v>
                </c:pt>
                <c:pt idx="31">
                  <c:v>-1.2526835786231942E-2</c:v>
                </c:pt>
                <c:pt idx="32">
                  <c:v>-3.5499441544151501E-3</c:v>
                </c:pt>
                <c:pt idx="33">
                  <c:v>-3.5100871179065806E-3</c:v>
                </c:pt>
                <c:pt idx="34">
                  <c:v>-3.4806472613945674E-3</c:v>
                </c:pt>
                <c:pt idx="35">
                  <c:v>-3.4720417648756718E-3</c:v>
                </c:pt>
                <c:pt idx="36">
                  <c:v>-3.4711359231368397E-3</c:v>
                </c:pt>
                <c:pt idx="37">
                  <c:v>-3.4512074048825541E-3</c:v>
                </c:pt>
                <c:pt idx="38">
                  <c:v>-3.2455813301678817E-3</c:v>
                </c:pt>
                <c:pt idx="39">
                  <c:v>-2.7881312520581462E-3</c:v>
                </c:pt>
                <c:pt idx="40">
                  <c:v>-2.5123024425840572E-3</c:v>
                </c:pt>
                <c:pt idx="41">
                  <c:v>-2.5113966008452268E-3</c:v>
                </c:pt>
                <c:pt idx="42">
                  <c:v>-2.4742570895531484E-3</c:v>
                </c:pt>
                <c:pt idx="43">
                  <c:v>-2.1603829270481524E-3</c:v>
                </c:pt>
                <c:pt idx="44">
                  <c:v>-1.4832662272718598E-3</c:v>
                </c:pt>
                <c:pt idx="45">
                  <c:v>-1.1635040934644611E-3</c:v>
                </c:pt>
                <c:pt idx="46">
                  <c:v>-1.1539927552067335E-3</c:v>
                </c:pt>
                <c:pt idx="47">
                  <c:v>-1.152181071729071E-3</c:v>
                </c:pt>
                <c:pt idx="48">
                  <c:v>-9.7735361613465743E-4</c:v>
                </c:pt>
                <c:pt idx="49">
                  <c:v>-7.6131036142342706E-4</c:v>
                </c:pt>
                <c:pt idx="50">
                  <c:v>-6.6438529536849353E-4</c:v>
                </c:pt>
                <c:pt idx="51">
                  <c:v>-1.2269193554745664E-4</c:v>
                </c:pt>
                <c:pt idx="52">
                  <c:v>-9.4157920774277232E-5</c:v>
                </c:pt>
                <c:pt idx="53">
                  <c:v>6.7490171549337841E-4</c:v>
                </c:pt>
                <c:pt idx="54">
                  <c:v>7.5370994677168707E-4</c:v>
                </c:pt>
                <c:pt idx="55">
                  <c:v>1.0268212310292832E-3</c:v>
                </c:pt>
                <c:pt idx="56">
                  <c:v>1.0299916771151912E-3</c:v>
                </c:pt>
                <c:pt idx="57">
                  <c:v>1.4127098117713566E-3</c:v>
                </c:pt>
                <c:pt idx="58">
                  <c:v>2.1256072602314803E-3</c:v>
                </c:pt>
                <c:pt idx="59">
                  <c:v>2.4050594366608925E-3</c:v>
                </c:pt>
                <c:pt idx="60">
                  <c:v>2.4716388044649824E-3</c:v>
                </c:pt>
                <c:pt idx="61">
                  <c:v>2.7642256861074473E-3</c:v>
                </c:pt>
                <c:pt idx="62">
                  <c:v>2.7927597008806301E-3</c:v>
                </c:pt>
                <c:pt idx="63">
                  <c:v>3.4309252058871802E-3</c:v>
                </c:pt>
                <c:pt idx="64">
                  <c:v>3.6863725762375683E-3</c:v>
                </c:pt>
                <c:pt idx="65">
                  <c:v>3.7262296127461396E-3</c:v>
                </c:pt>
                <c:pt idx="66">
                  <c:v>3.7262296127461396E-3</c:v>
                </c:pt>
                <c:pt idx="67">
                  <c:v>4.0591264517665891E-3</c:v>
                </c:pt>
                <c:pt idx="68">
                  <c:v>4.0618439769830837E-3</c:v>
                </c:pt>
                <c:pt idx="69">
                  <c:v>5.2593667557178751E-3</c:v>
                </c:pt>
                <c:pt idx="70">
                  <c:v>5.4953385286833946E-3</c:v>
                </c:pt>
                <c:pt idx="71">
                  <c:v>5.5415364573637819E-3</c:v>
                </c:pt>
                <c:pt idx="72">
                  <c:v>5.5415364573637819E-3</c:v>
                </c:pt>
                <c:pt idx="73">
                  <c:v>6.1914779049751408E-3</c:v>
                </c:pt>
                <c:pt idx="74">
                  <c:v>7.1706928246516241E-3</c:v>
                </c:pt>
                <c:pt idx="75">
                  <c:v>7.2273079333285695E-3</c:v>
                </c:pt>
                <c:pt idx="76">
                  <c:v>7.5679044271290859E-3</c:v>
                </c:pt>
                <c:pt idx="77">
                  <c:v>7.5715277940844108E-3</c:v>
                </c:pt>
                <c:pt idx="78">
                  <c:v>7.6657353349228533E-3</c:v>
                </c:pt>
                <c:pt idx="79">
                  <c:v>7.7182741557750602E-3</c:v>
                </c:pt>
                <c:pt idx="80">
                  <c:v>8.0036143035068751E-3</c:v>
                </c:pt>
                <c:pt idx="81">
                  <c:v>8.0081435122010304E-3</c:v>
                </c:pt>
                <c:pt idx="82">
                  <c:v>8.3116004947094702E-3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D1-41AE-8210-D21BAE155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8336"/>
        <c:axId val="1"/>
      </c:scatterChart>
      <c:valAx>
        <c:axId val="796788336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5068533100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6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2222222222222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11140274132399"/>
          <c:y val="0.92024539877300615"/>
          <c:w val="0.580556284631087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V0753 Cyg - O-C Diagr.</a:t>
            </a:r>
          </a:p>
        </c:rich>
      </c:tx>
      <c:layout>
        <c:manualLayout>
          <c:xMode val="edge"/>
          <c:yMode val="edge"/>
          <c:x val="0.3865005223861580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484951649288"/>
          <c:y val="0.14678942920199375"/>
          <c:w val="0.8238563138329968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2.9999999998835847E-2</c:v>
                </c:pt>
                <c:pt idx="1">
                  <c:v>-2.991366868809564E-2</c:v>
                </c:pt>
                <c:pt idx="2">
                  <c:v>-4.6241857635322958E-3</c:v>
                </c:pt>
                <c:pt idx="3">
                  <c:v>-1.6612536222964991E-2</c:v>
                </c:pt>
                <c:pt idx="4">
                  <c:v>-1.4149363538308535E-2</c:v>
                </c:pt>
                <c:pt idx="5">
                  <c:v>5.1096953728119843E-2</c:v>
                </c:pt>
                <c:pt idx="6">
                  <c:v>1.2264507022337057E-3</c:v>
                </c:pt>
                <c:pt idx="7">
                  <c:v>-3.0702221192768775E-3</c:v>
                </c:pt>
                <c:pt idx="8">
                  <c:v>-3.2983890807372518E-2</c:v>
                </c:pt>
                <c:pt idx="10">
                  <c:v>1.489826176839415E-2</c:v>
                </c:pt>
                <c:pt idx="13">
                  <c:v>-2.45583970026928E-2</c:v>
                </c:pt>
                <c:pt idx="14">
                  <c:v>1.6409059753641486E-2</c:v>
                </c:pt>
                <c:pt idx="15">
                  <c:v>-2.6417250483063981E-2</c:v>
                </c:pt>
                <c:pt idx="16">
                  <c:v>4.1205908142728731E-2</c:v>
                </c:pt>
                <c:pt idx="19">
                  <c:v>-5.0359494707663544E-3</c:v>
                </c:pt>
                <c:pt idx="20">
                  <c:v>-8.8931617210619152E-4</c:v>
                </c:pt>
                <c:pt idx="21">
                  <c:v>-1.3266157548059709E-2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F-43F7-BDA6-C60F46CED2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1.6999999999999999E-3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1.6999999999999999E-3</c:v>
                  </c:pt>
                  <c:pt idx="80">
                    <c:v>2.9999999999999997E-4</c:v>
                  </c:pt>
                  <c:pt idx="81">
                    <c:v>1E-4</c:v>
                  </c:pt>
                  <c:pt idx="8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-1.4724896864208858E-2</c:v>
                </c:pt>
                <c:pt idx="11">
                  <c:v>-8.8590994710102677E-4</c:v>
                </c:pt>
                <c:pt idx="12">
                  <c:v>-4.2394522170070559E-3</c:v>
                </c:pt>
                <c:pt idx="17">
                  <c:v>-2.562245635635918E-2</c:v>
                </c:pt>
                <c:pt idx="18">
                  <c:v>3.8218768895603716E-3</c:v>
                </c:pt>
                <c:pt idx="22">
                  <c:v>-3.2143850468855817E-2</c:v>
                </c:pt>
                <c:pt idx="23">
                  <c:v>2.1511192389880307E-3</c:v>
                </c:pt>
                <c:pt idx="24">
                  <c:v>-9.0962251560995355E-3</c:v>
                </c:pt>
                <c:pt idx="25">
                  <c:v>-1.392183311691042E-2</c:v>
                </c:pt>
                <c:pt idx="26">
                  <c:v>-9.1033887656521983E-3</c:v>
                </c:pt>
                <c:pt idx="27">
                  <c:v>3.5629355334094726E-3</c:v>
                </c:pt>
                <c:pt idx="28">
                  <c:v>4.234746600559447E-3</c:v>
                </c:pt>
                <c:pt idx="30">
                  <c:v>-1.5123931312700734E-2</c:v>
                </c:pt>
                <c:pt idx="31">
                  <c:v>-1.250077268196037E-2</c:v>
                </c:pt>
                <c:pt idx="32">
                  <c:v>2.0012900567962788E-3</c:v>
                </c:pt>
                <c:pt idx="33">
                  <c:v>-3.5797300515696406E-3</c:v>
                </c:pt>
                <c:pt idx="34">
                  <c:v>-1.8270744403707795E-3</c:v>
                </c:pt>
                <c:pt idx="35">
                  <c:v>-4.4070674193790182E-3</c:v>
                </c:pt>
                <c:pt idx="36">
                  <c:v>-5.7839087894535623E-3</c:v>
                </c:pt>
                <c:pt idx="37">
                  <c:v>-2.0744188368553296E-3</c:v>
                </c:pt>
                <c:pt idx="38">
                  <c:v>3.8259107532212511E-4</c:v>
                </c:pt>
                <c:pt idx="39">
                  <c:v>-2.9222987650427967E-3</c:v>
                </c:pt>
                <c:pt idx="40">
                  <c:v>-2.6704947231337428E-3</c:v>
                </c:pt>
                <c:pt idx="41">
                  <c:v>9.5266391144832596E-4</c:v>
                </c:pt>
                <c:pt idx="42">
                  <c:v>-2.3497832095017657E-2</c:v>
                </c:pt>
                <c:pt idx="43">
                  <c:v>-1.0733654198702425E-3</c:v>
                </c:pt>
                <c:pt idx="53">
                  <c:v>1.5131589389056899E-3</c:v>
                </c:pt>
                <c:pt idx="54">
                  <c:v>1.4279600873123854E-3</c:v>
                </c:pt>
                <c:pt idx="55">
                  <c:v>2.2102882358012721E-3</c:v>
                </c:pt>
                <c:pt idx="67">
                  <c:v>2.3338154787779786E-3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F-43F7-BDA6-C60F46CED2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4">
                  <c:v>8.3771347999572754E-4</c:v>
                </c:pt>
                <c:pt idx="45">
                  <c:v>-9.8728873126674443E-4</c:v>
                </c:pt>
                <c:pt idx="46">
                  <c:v>-2.4412306811427698E-4</c:v>
                </c:pt>
                <c:pt idx="47">
                  <c:v>-4.9780580593505874E-4</c:v>
                </c:pt>
                <c:pt idx="48">
                  <c:v>-1.1281894403509796E-3</c:v>
                </c:pt>
                <c:pt idx="49">
                  <c:v>-3.0485524621326476E-4</c:v>
                </c:pt>
                <c:pt idx="50">
                  <c:v>2.7311859594192356E-4</c:v>
                </c:pt>
                <c:pt idx="60">
                  <c:v>2.7483094308990985E-3</c:v>
                </c:pt>
                <c:pt idx="64">
                  <c:v>3.3040376001736149E-3</c:v>
                </c:pt>
                <c:pt idx="68">
                  <c:v>4.1032913795788772E-3</c:v>
                </c:pt>
                <c:pt idx="69">
                  <c:v>6.0190055010025389E-3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2F-43F7-BDA6-C60F46CED2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1">
                  <c:v>7.2198171255877241E-4</c:v>
                </c:pt>
                <c:pt idx="52">
                  <c:v>-2.648521309311036E-3</c:v>
                </c:pt>
                <c:pt idx="56">
                  <c:v>1.8913434541900642E-3</c:v>
                </c:pt>
                <c:pt idx="57">
                  <c:v>1.7758663088898174E-3</c:v>
                </c:pt>
                <c:pt idx="58">
                  <c:v>2.5017112566274591E-3</c:v>
                </c:pt>
                <c:pt idx="59">
                  <c:v>2.3461498349206522E-3</c:v>
                </c:pt>
                <c:pt idx="61">
                  <c:v>4.3285482170176692E-3</c:v>
                </c:pt>
                <c:pt idx="62">
                  <c:v>3.3580451854504645E-3</c:v>
                </c:pt>
                <c:pt idx="63">
                  <c:v>3.8733028195565566E-3</c:v>
                </c:pt>
                <c:pt idx="65">
                  <c:v>3.6230174955562688E-3</c:v>
                </c:pt>
                <c:pt idx="66">
                  <c:v>3.6230174955562688E-3</c:v>
                </c:pt>
                <c:pt idx="70">
                  <c:v>6.8718296533916146E-3</c:v>
                </c:pt>
                <c:pt idx="71">
                  <c:v>5.4329198901541531E-3</c:v>
                </c:pt>
                <c:pt idx="72">
                  <c:v>5.4329199920175597E-3</c:v>
                </c:pt>
                <c:pt idx="73">
                  <c:v>5.8492398675298318E-3</c:v>
                </c:pt>
                <c:pt idx="74">
                  <c:v>6.783723205444403E-3</c:v>
                </c:pt>
                <c:pt idx="75">
                  <c:v>7.3311378218932077E-3</c:v>
                </c:pt>
                <c:pt idx="76">
                  <c:v>7.0387842060881667E-3</c:v>
                </c:pt>
                <c:pt idx="77">
                  <c:v>8.3314187359064817E-3</c:v>
                </c:pt>
                <c:pt idx="78">
                  <c:v>6.9399166750372387E-3</c:v>
                </c:pt>
                <c:pt idx="79">
                  <c:v>7.6831174446851946E-3</c:v>
                </c:pt>
                <c:pt idx="80">
                  <c:v>8.1780871405499056E-3</c:v>
                </c:pt>
                <c:pt idx="81">
                  <c:v>7.4938803081749938E-3</c:v>
                </c:pt>
                <c:pt idx="82">
                  <c:v>7.3520226942491718E-3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2F-43F7-BDA6-C60F46CED2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2F-43F7-BDA6-C60F46CED2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2F-43F7-BDA6-C60F46CED2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3.0999999999999999E-3</c:v>
                  </c:pt>
                  <c:pt idx="49">
                    <c:v>1.1000000000000001E-3</c:v>
                  </c:pt>
                  <c:pt idx="50">
                    <c:v>4.0000000000000002E-4</c:v>
                  </c:pt>
                  <c:pt idx="51">
                    <c:v>1.6000000000000001E-3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1.4E-3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2F-43F7-BDA6-C60F46CED2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42</c:v>
                </c:pt>
                <c:pt idx="2">
                  <c:v>67</c:v>
                </c:pt>
                <c:pt idx="3">
                  <c:v>258</c:v>
                </c:pt>
                <c:pt idx="4">
                  <c:v>298</c:v>
                </c:pt>
                <c:pt idx="5">
                  <c:v>302</c:v>
                </c:pt>
                <c:pt idx="6">
                  <c:v>365</c:v>
                </c:pt>
                <c:pt idx="7">
                  <c:v>823</c:v>
                </c:pt>
                <c:pt idx="8">
                  <c:v>865</c:v>
                </c:pt>
                <c:pt idx="9">
                  <c:v>991</c:v>
                </c:pt>
                <c:pt idx="10">
                  <c:v>993</c:v>
                </c:pt>
                <c:pt idx="11">
                  <c:v>1098</c:v>
                </c:pt>
                <c:pt idx="12">
                  <c:v>1482</c:v>
                </c:pt>
                <c:pt idx="13">
                  <c:v>1489</c:v>
                </c:pt>
                <c:pt idx="14">
                  <c:v>1728</c:v>
                </c:pt>
                <c:pt idx="15">
                  <c:v>1743</c:v>
                </c:pt>
                <c:pt idx="16">
                  <c:v>1745</c:v>
                </c:pt>
                <c:pt idx="17">
                  <c:v>1898</c:v>
                </c:pt>
                <c:pt idx="18">
                  <c:v>2230</c:v>
                </c:pt>
                <c:pt idx="19">
                  <c:v>2415</c:v>
                </c:pt>
                <c:pt idx="20">
                  <c:v>3274</c:v>
                </c:pt>
                <c:pt idx="21">
                  <c:v>3276</c:v>
                </c:pt>
                <c:pt idx="22">
                  <c:v>3822</c:v>
                </c:pt>
                <c:pt idx="23">
                  <c:v>4452</c:v>
                </c:pt>
                <c:pt idx="24">
                  <c:v>4517</c:v>
                </c:pt>
                <c:pt idx="25">
                  <c:v>6432</c:v>
                </c:pt>
                <c:pt idx="26">
                  <c:v>7919</c:v>
                </c:pt>
                <c:pt idx="27">
                  <c:v>7942</c:v>
                </c:pt>
                <c:pt idx="28">
                  <c:v>8570</c:v>
                </c:pt>
                <c:pt idx="29">
                  <c:v>1482</c:v>
                </c:pt>
                <c:pt idx="30">
                  <c:v>9299</c:v>
                </c:pt>
                <c:pt idx="31">
                  <c:v>9301</c:v>
                </c:pt>
                <c:pt idx="32">
                  <c:v>29121</c:v>
                </c:pt>
                <c:pt idx="33">
                  <c:v>29209</c:v>
                </c:pt>
                <c:pt idx="34">
                  <c:v>29274</c:v>
                </c:pt>
                <c:pt idx="35">
                  <c:v>29293</c:v>
                </c:pt>
                <c:pt idx="36">
                  <c:v>29295</c:v>
                </c:pt>
                <c:pt idx="37">
                  <c:v>29339</c:v>
                </c:pt>
                <c:pt idx="38">
                  <c:v>29793</c:v>
                </c:pt>
                <c:pt idx="39">
                  <c:v>30803</c:v>
                </c:pt>
                <c:pt idx="40">
                  <c:v>31412</c:v>
                </c:pt>
                <c:pt idx="41">
                  <c:v>31414</c:v>
                </c:pt>
                <c:pt idx="42">
                  <c:v>31496</c:v>
                </c:pt>
                <c:pt idx="43">
                  <c:v>32189</c:v>
                </c:pt>
                <c:pt idx="44">
                  <c:v>33684</c:v>
                </c:pt>
                <c:pt idx="45">
                  <c:v>34390</c:v>
                </c:pt>
                <c:pt idx="46">
                  <c:v>34411</c:v>
                </c:pt>
                <c:pt idx="47">
                  <c:v>34415</c:v>
                </c:pt>
                <c:pt idx="48">
                  <c:v>34801</c:v>
                </c:pt>
                <c:pt idx="49">
                  <c:v>35278</c:v>
                </c:pt>
                <c:pt idx="50">
                  <c:v>35492</c:v>
                </c:pt>
                <c:pt idx="51">
                  <c:v>36688</c:v>
                </c:pt>
                <c:pt idx="52">
                  <c:v>36751</c:v>
                </c:pt>
                <c:pt idx="53">
                  <c:v>38449</c:v>
                </c:pt>
                <c:pt idx="54">
                  <c:v>38623</c:v>
                </c:pt>
                <c:pt idx="55">
                  <c:v>39226</c:v>
                </c:pt>
                <c:pt idx="56">
                  <c:v>39233</c:v>
                </c:pt>
                <c:pt idx="57">
                  <c:v>40078</c:v>
                </c:pt>
                <c:pt idx="58">
                  <c:v>41652</c:v>
                </c:pt>
                <c:pt idx="59">
                  <c:v>42269</c:v>
                </c:pt>
                <c:pt idx="60">
                  <c:v>42416</c:v>
                </c:pt>
                <c:pt idx="61">
                  <c:v>43062</c:v>
                </c:pt>
                <c:pt idx="62">
                  <c:v>43125</c:v>
                </c:pt>
                <c:pt idx="63">
                  <c:v>44534</c:v>
                </c:pt>
                <c:pt idx="64">
                  <c:v>45098</c:v>
                </c:pt>
                <c:pt idx="65">
                  <c:v>45186</c:v>
                </c:pt>
                <c:pt idx="66">
                  <c:v>45186</c:v>
                </c:pt>
                <c:pt idx="67">
                  <c:v>45921</c:v>
                </c:pt>
                <c:pt idx="68">
                  <c:v>45927</c:v>
                </c:pt>
                <c:pt idx="69">
                  <c:v>48571</c:v>
                </c:pt>
                <c:pt idx="70">
                  <c:v>49092</c:v>
                </c:pt>
                <c:pt idx="71">
                  <c:v>49194</c:v>
                </c:pt>
                <c:pt idx="72">
                  <c:v>49194</c:v>
                </c:pt>
                <c:pt idx="73">
                  <c:v>50629</c:v>
                </c:pt>
                <c:pt idx="74">
                  <c:v>52791</c:v>
                </c:pt>
                <c:pt idx="75">
                  <c:v>52916</c:v>
                </c:pt>
                <c:pt idx="76">
                  <c:v>53668</c:v>
                </c:pt>
                <c:pt idx="77">
                  <c:v>53676</c:v>
                </c:pt>
                <c:pt idx="78">
                  <c:v>53884</c:v>
                </c:pt>
                <c:pt idx="79">
                  <c:v>54000</c:v>
                </c:pt>
                <c:pt idx="80">
                  <c:v>54630</c:v>
                </c:pt>
                <c:pt idx="81">
                  <c:v>54640</c:v>
                </c:pt>
                <c:pt idx="82">
                  <c:v>55310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-1.673945279266625E-2</c:v>
                </c:pt>
                <c:pt idx="1">
                  <c:v>-1.6720430116150795E-2</c:v>
                </c:pt>
                <c:pt idx="2">
                  <c:v>-1.6709107094415407E-2</c:v>
                </c:pt>
                <c:pt idx="3">
                  <c:v>-1.6622599208357031E-2</c:v>
                </c:pt>
                <c:pt idx="4">
                  <c:v>-1.6604482373580406E-2</c:v>
                </c:pt>
                <c:pt idx="5">
                  <c:v>-1.6602670690102746E-2</c:v>
                </c:pt>
                <c:pt idx="6">
                  <c:v>-1.6574136675329563E-2</c:v>
                </c:pt>
                <c:pt idx="7">
                  <c:v>-1.636669891713723E-2</c:v>
                </c:pt>
                <c:pt idx="8">
                  <c:v>-1.6347676240621774E-2</c:v>
                </c:pt>
                <c:pt idx="9">
                  <c:v>-1.6290608211075412E-2</c:v>
                </c:pt>
                <c:pt idx="10">
                  <c:v>-1.6289702369336578E-2</c:v>
                </c:pt>
                <c:pt idx="11">
                  <c:v>-1.6242145678047944E-2</c:v>
                </c:pt>
                <c:pt idx="12">
                  <c:v>-1.6068224064192362E-2</c:v>
                </c:pt>
                <c:pt idx="13">
                  <c:v>-1.6065053618106451E-2</c:v>
                </c:pt>
                <c:pt idx="14">
                  <c:v>-1.5956805530316129E-2</c:v>
                </c:pt>
                <c:pt idx="15">
                  <c:v>-1.5950011717274896E-2</c:v>
                </c:pt>
                <c:pt idx="16">
                  <c:v>-1.5949105875536065E-2</c:v>
                </c:pt>
                <c:pt idx="17">
                  <c:v>-1.5879808982515481E-2</c:v>
                </c:pt>
                <c:pt idx="18">
                  <c:v>-1.5729439253869507E-2</c:v>
                </c:pt>
                <c:pt idx="19">
                  <c:v>-1.5645648893027626E-2</c:v>
                </c:pt>
                <c:pt idx="20">
                  <c:v>-1.5256589866199642E-2</c:v>
                </c:pt>
                <c:pt idx="21">
                  <c:v>-1.525568402446081E-2</c:v>
                </c:pt>
                <c:pt idx="22">
                  <c:v>-1.5008389229759904E-2</c:v>
                </c:pt>
                <c:pt idx="23">
                  <c:v>-1.4723049082028089E-2</c:v>
                </c:pt>
                <c:pt idx="24">
                  <c:v>-1.4693609225516076E-2</c:v>
                </c:pt>
                <c:pt idx="25">
                  <c:v>-1.3826265760585241E-2</c:v>
                </c:pt>
                <c:pt idx="26">
                  <c:v>-1.3152772427764274E-2</c:v>
                </c:pt>
                <c:pt idx="27">
                  <c:v>-1.3142355247767716E-2</c:v>
                </c:pt>
                <c:pt idx="28">
                  <c:v>-1.2857920941774731E-2</c:v>
                </c:pt>
                <c:pt idx="30">
                  <c:v>-1.2527741627970775E-2</c:v>
                </c:pt>
                <c:pt idx="31">
                  <c:v>-1.2526835786231942E-2</c:v>
                </c:pt>
                <c:pt idx="32">
                  <c:v>-3.5499441544151501E-3</c:v>
                </c:pt>
                <c:pt idx="33">
                  <c:v>-3.5100871179065806E-3</c:v>
                </c:pt>
                <c:pt idx="34">
                  <c:v>-3.4806472613945674E-3</c:v>
                </c:pt>
                <c:pt idx="35">
                  <c:v>-3.4720417648756718E-3</c:v>
                </c:pt>
                <c:pt idx="36">
                  <c:v>-3.4711359231368397E-3</c:v>
                </c:pt>
                <c:pt idx="37">
                  <c:v>-3.4512074048825541E-3</c:v>
                </c:pt>
                <c:pt idx="38">
                  <c:v>-3.2455813301678817E-3</c:v>
                </c:pt>
                <c:pt idx="39">
                  <c:v>-2.7881312520581462E-3</c:v>
                </c:pt>
                <c:pt idx="40">
                  <c:v>-2.5123024425840572E-3</c:v>
                </c:pt>
                <c:pt idx="41">
                  <c:v>-2.5113966008452268E-3</c:v>
                </c:pt>
                <c:pt idx="42">
                  <c:v>-2.4742570895531484E-3</c:v>
                </c:pt>
                <c:pt idx="43">
                  <c:v>-2.1603829270481524E-3</c:v>
                </c:pt>
                <c:pt idx="44">
                  <c:v>-1.4832662272718598E-3</c:v>
                </c:pt>
                <c:pt idx="45">
                  <c:v>-1.1635040934644611E-3</c:v>
                </c:pt>
                <c:pt idx="46">
                  <c:v>-1.1539927552067335E-3</c:v>
                </c:pt>
                <c:pt idx="47">
                  <c:v>-1.152181071729071E-3</c:v>
                </c:pt>
                <c:pt idx="48">
                  <c:v>-9.7735361613465743E-4</c:v>
                </c:pt>
                <c:pt idx="49">
                  <c:v>-7.6131036142342706E-4</c:v>
                </c:pt>
                <c:pt idx="50">
                  <c:v>-6.6438529536849353E-4</c:v>
                </c:pt>
                <c:pt idx="51">
                  <c:v>-1.2269193554745664E-4</c:v>
                </c:pt>
                <c:pt idx="52">
                  <c:v>-9.4157920774277232E-5</c:v>
                </c:pt>
                <c:pt idx="53">
                  <c:v>6.7490171549337841E-4</c:v>
                </c:pt>
                <c:pt idx="54">
                  <c:v>7.5370994677168707E-4</c:v>
                </c:pt>
                <c:pt idx="55">
                  <c:v>1.0268212310292832E-3</c:v>
                </c:pt>
                <c:pt idx="56">
                  <c:v>1.0299916771151912E-3</c:v>
                </c:pt>
                <c:pt idx="57">
                  <c:v>1.4127098117713566E-3</c:v>
                </c:pt>
                <c:pt idx="58">
                  <c:v>2.1256072602314803E-3</c:v>
                </c:pt>
                <c:pt idx="59">
                  <c:v>2.4050594366608925E-3</c:v>
                </c:pt>
                <c:pt idx="60">
                  <c:v>2.4716388044649824E-3</c:v>
                </c:pt>
                <c:pt idx="61">
                  <c:v>2.7642256861074473E-3</c:v>
                </c:pt>
                <c:pt idx="62">
                  <c:v>2.7927597008806301E-3</c:v>
                </c:pt>
                <c:pt idx="63">
                  <c:v>3.4309252058871802E-3</c:v>
                </c:pt>
                <c:pt idx="64">
                  <c:v>3.6863725762375683E-3</c:v>
                </c:pt>
                <c:pt idx="65">
                  <c:v>3.7262296127461396E-3</c:v>
                </c:pt>
                <c:pt idx="66">
                  <c:v>3.7262296127461396E-3</c:v>
                </c:pt>
                <c:pt idx="67">
                  <c:v>4.0591264517665891E-3</c:v>
                </c:pt>
                <c:pt idx="68">
                  <c:v>4.0618439769830837E-3</c:v>
                </c:pt>
                <c:pt idx="69">
                  <c:v>5.2593667557178751E-3</c:v>
                </c:pt>
                <c:pt idx="70">
                  <c:v>5.4953385286833946E-3</c:v>
                </c:pt>
                <c:pt idx="71">
                  <c:v>5.5415364573637819E-3</c:v>
                </c:pt>
                <c:pt idx="72">
                  <c:v>5.5415364573637819E-3</c:v>
                </c:pt>
                <c:pt idx="73">
                  <c:v>6.1914779049751408E-3</c:v>
                </c:pt>
                <c:pt idx="74">
                  <c:v>7.1706928246516241E-3</c:v>
                </c:pt>
                <c:pt idx="75">
                  <c:v>7.2273079333285695E-3</c:v>
                </c:pt>
                <c:pt idx="76">
                  <c:v>7.5679044271290859E-3</c:v>
                </c:pt>
                <c:pt idx="77">
                  <c:v>7.5715277940844108E-3</c:v>
                </c:pt>
                <c:pt idx="78">
                  <c:v>7.6657353349228533E-3</c:v>
                </c:pt>
                <c:pt idx="79">
                  <c:v>7.7182741557750602E-3</c:v>
                </c:pt>
                <c:pt idx="80">
                  <c:v>8.0036143035068751E-3</c:v>
                </c:pt>
                <c:pt idx="81">
                  <c:v>8.0081435122010304E-3</c:v>
                </c:pt>
                <c:pt idx="82">
                  <c:v>8.3116004947094702E-3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2F-43F7-BDA6-C60F46CED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91616"/>
        <c:axId val="1"/>
      </c:scatterChart>
      <c:valAx>
        <c:axId val="7967916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33023541960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6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56726768377254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9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13606794296346"/>
          <c:y val="0.9204921861831491"/>
          <c:w val="0.5797507835792372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V753 Cyg - O-C Diagr.</a:t>
            </a:r>
          </a:p>
        </c:rich>
      </c:tx>
      <c:layout>
        <c:manualLayout>
          <c:xMode val="edge"/>
          <c:yMode val="edge"/>
          <c:x val="0.3243805991193249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6239746335617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2-44FA-9674-58558C77EDA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4.8691999996663071E-2</c:v>
                </c:pt>
                <c:pt idx="2">
                  <c:v>4.7869999994873069E-2</c:v>
                </c:pt>
                <c:pt idx="3">
                  <c:v>4.8643000001902692E-2</c:v>
                </c:pt>
                <c:pt idx="4">
                  <c:v>4.8394999997981358E-2</c:v>
                </c:pt>
                <c:pt idx="5">
                  <c:v>4.8312999999325257E-2</c:v>
                </c:pt>
                <c:pt idx="6">
                  <c:v>4.9813999998150393E-2</c:v>
                </c:pt>
                <c:pt idx="7">
                  <c:v>5.0695999998424668E-2</c:v>
                </c:pt>
                <c:pt idx="8">
                  <c:v>5.284399999800371E-2</c:v>
                </c:pt>
                <c:pt idx="9">
                  <c:v>4.956300000048941E-2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D2-44FA-9674-58558C77EDA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0">
                  <c:v>5.8713999998872168E-2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D2-44FA-9674-58558C77EDA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D2-44FA-9674-58558C77EDA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D2-44FA-9674-58558C77EDA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D2-44FA-9674-58558C77EDA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3.0999999999999999E-3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D2-44FA-9674-58558C77EDA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33684</c:v>
                </c:pt>
                <c:pt idx="2">
                  <c:v>34390</c:v>
                </c:pt>
                <c:pt idx="3">
                  <c:v>34411</c:v>
                </c:pt>
                <c:pt idx="4">
                  <c:v>34415</c:v>
                </c:pt>
                <c:pt idx="5">
                  <c:v>34801</c:v>
                </c:pt>
                <c:pt idx="6">
                  <c:v>35278</c:v>
                </c:pt>
                <c:pt idx="7">
                  <c:v>35492</c:v>
                </c:pt>
                <c:pt idx="8">
                  <c:v>36688</c:v>
                </c:pt>
                <c:pt idx="9">
                  <c:v>36751</c:v>
                </c:pt>
                <c:pt idx="10">
                  <c:v>40078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-2.0019122504173759E-4</c:v>
                </c:pt>
                <c:pt idx="1">
                  <c:v>4.7654095292906956E-2</c:v>
                </c:pt>
                <c:pt idx="2">
                  <c:v>4.8657097498157872E-2</c:v>
                </c:pt>
                <c:pt idx="3">
                  <c:v>4.868693184137355E-2</c:v>
                </c:pt>
                <c:pt idx="4">
                  <c:v>4.869261457341463E-2</c:v>
                </c:pt>
                <c:pt idx="5">
                  <c:v>4.9240998215379014E-2</c:v>
                </c:pt>
                <c:pt idx="6">
                  <c:v>4.9918664011278001E-2</c:v>
                </c:pt>
                <c:pt idx="7">
                  <c:v>5.022269017547587E-2</c:v>
                </c:pt>
                <c:pt idx="8">
                  <c:v>5.192182705575929E-2</c:v>
                </c:pt>
                <c:pt idx="9">
                  <c:v>5.2011330085406322E-2</c:v>
                </c:pt>
                <c:pt idx="10">
                  <c:v>5.6737942460576E-2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D2-44FA-9674-58558C77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5528"/>
        <c:axId val="1"/>
      </c:scatterChart>
      <c:valAx>
        <c:axId val="7967355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578512396694215E-2"/>
          <c:y val="0.91975600272188196"/>
          <c:w val="0.99173640485022008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285750</xdr:colOff>
      <xdr:row>18</xdr:row>
      <xdr:rowOff>28575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421228C5-8659-99EA-8ADA-C7A375E5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447675</xdr:colOff>
      <xdr:row>0</xdr:row>
      <xdr:rowOff>57150</xdr:rowOff>
    </xdr:from>
    <xdr:to>
      <xdr:col>26</xdr:col>
      <xdr:colOff>485775</xdr:colOff>
      <xdr:row>18</xdr:row>
      <xdr:rowOff>85725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7B95A5A5-5E04-C594-39E3-52BFA7833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C4DF460-FEDE-3561-2430-D5F9518BC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79" TargetMode="External"/><Relationship Id="rId13" Type="http://schemas.openxmlformats.org/officeDocument/2006/relationships/hyperlink" Target="http://www.bav-astro.de/sfs/BAVM_link.php?BAVMnr=132" TargetMode="External"/><Relationship Id="rId18" Type="http://schemas.openxmlformats.org/officeDocument/2006/relationships/hyperlink" Target="http://www.bav-astro.de/sfs/BAVM_link.php?BAVMnr=132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027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bav-astro.de/sfs/BAVM_link.php?BAVMnr=132" TargetMode="External"/><Relationship Id="rId25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32" TargetMode="External"/><Relationship Id="rId20" Type="http://schemas.openxmlformats.org/officeDocument/2006/relationships/hyperlink" Target="http://www.konkoly.hu/cgi-bin/IBVS?5027" TargetMode="External"/><Relationship Id="rId29" Type="http://schemas.openxmlformats.org/officeDocument/2006/relationships/hyperlink" Target="http://www.konkoly.hu/cgi-bin/IBVS?5988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bav-astro.de/sfs/BAVM_link.php?BAVMnr=131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www.konkoly.hu/cgi-bin/IBVS?5677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32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www.konkoly.hu/cgi-bin/IBVS?5592" TargetMode="External"/><Relationship Id="rId27" Type="http://schemas.openxmlformats.org/officeDocument/2006/relationships/hyperlink" Target="http://vsolj.cetus-net.org/vsoljno50.pdf" TargetMode="External"/><Relationship Id="rId30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135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E11" sqref="E10:F11"/>
    </sheetView>
  </sheetViews>
  <sheetFormatPr defaultColWidth="10.28515625" defaultRowHeight="12.75" x14ac:dyDescent="0.2"/>
  <cols>
    <col min="1" max="1" width="15.85546875" customWidth="1"/>
    <col min="2" max="2" width="5.140625" style="5" customWidth="1"/>
    <col min="3" max="3" width="14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8" t="s">
        <v>57</v>
      </c>
      <c r="B1" s="76"/>
      <c r="E1" s="22"/>
      <c r="F1" s="22"/>
    </row>
    <row r="2" spans="1:6" x14ac:dyDescent="0.2">
      <c r="A2" t="s">
        <v>27</v>
      </c>
      <c r="B2" s="77" t="s">
        <v>41</v>
      </c>
      <c r="E2" s="22"/>
      <c r="F2" s="22"/>
    </row>
    <row r="3" spans="1:6" ht="13.5" thickBot="1" x14ac:dyDescent="0.25"/>
    <row r="4" spans="1:6" ht="14.25" thickTop="1" thickBot="1" x14ac:dyDescent="0.25">
      <c r="A4" s="7" t="s">
        <v>2</v>
      </c>
      <c r="B4" s="78"/>
      <c r="C4" s="3">
        <v>33804.47</v>
      </c>
      <c r="D4" s="4">
        <v>0.47618700000000003</v>
      </c>
    </row>
    <row r="5" spans="1:6" ht="13.5" thickTop="1" x14ac:dyDescent="0.2">
      <c r="A5" s="32" t="s">
        <v>42</v>
      </c>
      <c r="B5" s="79"/>
      <c r="C5" s="33">
        <v>-9.5</v>
      </c>
      <c r="D5" s="23" t="s">
        <v>43</v>
      </c>
    </row>
    <row r="6" spans="1:6" x14ac:dyDescent="0.2">
      <c r="A6" s="7" t="s">
        <v>3</v>
      </c>
    </row>
    <row r="7" spans="1:6" x14ac:dyDescent="0.2">
      <c r="A7" t="s">
        <v>4</v>
      </c>
      <c r="C7" s="22">
        <f>C4</f>
        <v>33804.47</v>
      </c>
    </row>
    <row r="8" spans="1:6" x14ac:dyDescent="0.2">
      <c r="A8" t="s">
        <v>5</v>
      </c>
      <c r="C8" s="22">
        <v>0.47618842068301032</v>
      </c>
    </row>
    <row r="9" spans="1:6" x14ac:dyDescent="0.2">
      <c r="A9" s="40" t="s">
        <v>50</v>
      </c>
      <c r="B9" s="80">
        <v>53</v>
      </c>
      <c r="C9" s="71" t="str">
        <f>"F"&amp;B9</f>
        <v>F53</v>
      </c>
      <c r="D9" s="39" t="str">
        <f>"G"&amp;B9</f>
        <v>G53</v>
      </c>
    </row>
    <row r="10" spans="1:6" ht="13.5" thickBot="1" x14ac:dyDescent="0.25">
      <c r="A10" s="23"/>
      <c r="B10" s="79"/>
      <c r="C10" s="6" t="s">
        <v>22</v>
      </c>
      <c r="D10" s="6" t="s">
        <v>23</v>
      </c>
      <c r="E10" s="23"/>
    </row>
    <row r="11" spans="1:6" x14ac:dyDescent="0.2">
      <c r="A11" s="23" t="s">
        <v>17</v>
      </c>
      <c r="B11" s="79"/>
      <c r="C11" s="72">
        <f ca="1">INTERCEPT(INDIRECT($D$9):G991,INDIRECT($C$9):F991)</f>
        <v>-1.673945279266625E-2</v>
      </c>
      <c r="D11" s="5"/>
      <c r="E11" s="23"/>
    </row>
    <row r="12" spans="1:6" x14ac:dyDescent="0.2">
      <c r="A12" s="23" t="s">
        <v>18</v>
      </c>
      <c r="B12" s="79"/>
      <c r="C12" s="72">
        <f ca="1">SLOPE(INDIRECT($D$9):G991,INDIRECT($C$9):F991)</f>
        <v>4.5292086941557981E-7</v>
      </c>
      <c r="D12" s="5"/>
      <c r="E12" s="23"/>
    </row>
    <row r="13" spans="1:6" x14ac:dyDescent="0.2">
      <c r="A13" s="23" t="s">
        <v>21</v>
      </c>
      <c r="B13" s="79"/>
      <c r="C13" s="5" t="s">
        <v>15</v>
      </c>
    </row>
    <row r="14" spans="1:6" x14ac:dyDescent="0.2">
      <c r="A14" s="23"/>
      <c r="B14" s="79"/>
      <c r="C14" s="23"/>
    </row>
    <row r="15" spans="1:6" x14ac:dyDescent="0.2">
      <c r="A15" s="34" t="s">
        <v>19</v>
      </c>
      <c r="B15" s="79"/>
      <c r="C15" s="73">
        <f ca="1">(C7+C11)+(C8+C12)*INT(MAX(F21:F3532))</f>
        <v>60142.459859577793</v>
      </c>
      <c r="E15" s="35" t="s">
        <v>51</v>
      </c>
      <c r="F15" s="33">
        <v>1</v>
      </c>
    </row>
    <row r="16" spans="1:6" x14ac:dyDescent="0.2">
      <c r="A16" s="24" t="s">
        <v>6</v>
      </c>
      <c r="B16" s="79"/>
      <c r="C16" s="74">
        <f ca="1">+C8+C12</f>
        <v>0.47618887360387974</v>
      </c>
      <c r="E16" s="35" t="s">
        <v>44</v>
      </c>
      <c r="F16" s="36">
        <f ca="1">NOW()+15018.5+$C$5/24</f>
        <v>60309.764652777776</v>
      </c>
    </row>
    <row r="17" spans="1:17" ht="13.5" thickBot="1" x14ac:dyDescent="0.25">
      <c r="A17" s="35" t="s">
        <v>46</v>
      </c>
      <c r="B17" s="79"/>
      <c r="C17" s="23">
        <f>COUNT(C21:C2190)</f>
        <v>83</v>
      </c>
      <c r="E17" s="35" t="s">
        <v>52</v>
      </c>
      <c r="F17" s="36">
        <f ca="1">ROUND(2*(F16-$C$7)/$C$8,0)/2+F15</f>
        <v>55662.5</v>
      </c>
    </row>
    <row r="18" spans="1:17" ht="14.25" thickTop="1" thickBot="1" x14ac:dyDescent="0.25">
      <c r="A18" s="24" t="s">
        <v>7</v>
      </c>
      <c r="B18" s="79"/>
      <c r="C18" s="75">
        <f ca="1">+C15</f>
        <v>60142.459859577793</v>
      </c>
      <c r="D18" s="38">
        <f ca="1">+C16</f>
        <v>0.47618887360387974</v>
      </c>
      <c r="E18" s="35" t="s">
        <v>45</v>
      </c>
      <c r="F18" s="39">
        <f ca="1">ROUND(2*(F16-$C$15)/$C$16,0)/2+F15</f>
        <v>352.5</v>
      </c>
    </row>
    <row r="19" spans="1:17" ht="13.5" thickTop="1" x14ac:dyDescent="0.2">
      <c r="E19" s="35" t="s">
        <v>47</v>
      </c>
      <c r="F19" s="37">
        <f ca="1">+$C$15+$C$16*F18-15018.5-$C$5/24</f>
        <v>45292.2122708565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66</v>
      </c>
      <c r="I20" s="9" t="s">
        <v>69</v>
      </c>
      <c r="J20" s="9" t="s">
        <v>63</v>
      </c>
      <c r="K20" s="9" t="s">
        <v>61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 x14ac:dyDescent="0.2">
      <c r="A21" s="65" t="s">
        <v>77</v>
      </c>
      <c r="B21" s="81" t="s">
        <v>40</v>
      </c>
      <c r="C21" s="65">
        <v>33804.5</v>
      </c>
      <c r="D21" s="65" t="s">
        <v>69</v>
      </c>
      <c r="E21">
        <f t="shared" ref="E21:E52" si="0">+(C21-C$7)/C$8</f>
        <v>6.3000271942366876E-2</v>
      </c>
      <c r="F21">
        <f t="shared" ref="F21:F52" si="1">ROUND(2*E21,0)/2</f>
        <v>0</v>
      </c>
      <c r="G21">
        <f t="shared" ref="G21:G49" si="2">C21-($C$7+$C$8*$F21)</f>
        <v>2.9999999998835847E-2</v>
      </c>
      <c r="H21">
        <f t="shared" ref="H21:H29" si="3">+G21</f>
        <v>2.9999999998835847E-2</v>
      </c>
      <c r="O21">
        <f t="shared" ref="O21:O49" ca="1" si="4">+C$11+C$12*$F21</f>
        <v>-1.673945279266625E-2</v>
      </c>
      <c r="Q21" s="1">
        <f t="shared" ref="Q21:Q52" si="5">+C21-15018.5</f>
        <v>18786</v>
      </c>
    </row>
    <row r="22" spans="1:17" x14ac:dyDescent="0.2">
      <c r="A22" s="66" t="s">
        <v>77</v>
      </c>
      <c r="B22" s="82" t="s">
        <v>40</v>
      </c>
      <c r="C22" s="66">
        <v>33824.44</v>
      </c>
      <c r="D22" s="67" t="s">
        <v>69</v>
      </c>
      <c r="E22">
        <f t="shared" si="0"/>
        <v>41.937181024598701</v>
      </c>
      <c r="F22">
        <f t="shared" si="1"/>
        <v>42</v>
      </c>
      <c r="G22">
        <f t="shared" si="2"/>
        <v>-2.991366868809564E-2</v>
      </c>
      <c r="H22">
        <f t="shared" si="3"/>
        <v>-2.991366868809564E-2</v>
      </c>
      <c r="O22">
        <f t="shared" ca="1" si="4"/>
        <v>-1.6720430116150795E-2</v>
      </c>
      <c r="Q22" s="1">
        <f t="shared" si="5"/>
        <v>18805.940000000002</v>
      </c>
    </row>
    <row r="23" spans="1:17" x14ac:dyDescent="0.2">
      <c r="A23" s="66" t="s">
        <v>77</v>
      </c>
      <c r="B23" s="82" t="s">
        <v>40</v>
      </c>
      <c r="C23" s="66">
        <v>33836.370000000003</v>
      </c>
      <c r="D23" s="67" t="s">
        <v>69</v>
      </c>
      <c r="E23">
        <f t="shared" si="0"/>
        <v>66.990289167986063</v>
      </c>
      <c r="F23">
        <f t="shared" si="1"/>
        <v>67</v>
      </c>
      <c r="G23">
        <f t="shared" si="2"/>
        <v>-4.6241857635322958E-3</v>
      </c>
      <c r="H23">
        <f t="shared" si="3"/>
        <v>-4.6241857635322958E-3</v>
      </c>
      <c r="O23">
        <f t="shared" ca="1" si="4"/>
        <v>-1.6709107094415407E-2</v>
      </c>
      <c r="Q23" s="1">
        <f t="shared" si="5"/>
        <v>18817.870000000003</v>
      </c>
    </row>
    <row r="24" spans="1:17" x14ac:dyDescent="0.2">
      <c r="A24" s="66" t="s">
        <v>77</v>
      </c>
      <c r="B24" s="82" t="s">
        <v>40</v>
      </c>
      <c r="C24" s="66">
        <v>33927.31</v>
      </c>
      <c r="D24" s="68" t="s">
        <v>69</v>
      </c>
      <c r="E24">
        <f t="shared" si="0"/>
        <v>257.9651135233479</v>
      </c>
      <c r="F24">
        <f t="shared" si="1"/>
        <v>258</v>
      </c>
      <c r="G24">
        <f t="shared" si="2"/>
        <v>-1.6612536222964991E-2</v>
      </c>
      <c r="H24">
        <f t="shared" si="3"/>
        <v>-1.6612536222964991E-2</v>
      </c>
      <c r="O24">
        <f t="shared" ca="1" si="4"/>
        <v>-1.6622599208357031E-2</v>
      </c>
      <c r="Q24" s="1">
        <f t="shared" si="5"/>
        <v>18908.809999999998</v>
      </c>
    </row>
    <row r="25" spans="1:17" x14ac:dyDescent="0.2">
      <c r="A25" s="66" t="s">
        <v>77</v>
      </c>
      <c r="B25" s="82" t="s">
        <v>40</v>
      </c>
      <c r="C25" s="66">
        <v>33946.36</v>
      </c>
      <c r="D25" s="68" t="s">
        <v>69</v>
      </c>
      <c r="E25">
        <f t="shared" si="0"/>
        <v>297.9702862083094</v>
      </c>
      <c r="F25">
        <f t="shared" si="1"/>
        <v>298</v>
      </c>
      <c r="G25">
        <f t="shared" si="2"/>
        <v>-1.4149363538308535E-2</v>
      </c>
      <c r="H25">
        <f t="shared" si="3"/>
        <v>-1.4149363538308535E-2</v>
      </c>
      <c r="O25">
        <f t="shared" ca="1" si="4"/>
        <v>-1.6604482373580406E-2</v>
      </c>
      <c r="Q25" s="1">
        <f t="shared" si="5"/>
        <v>18927.86</v>
      </c>
    </row>
    <row r="26" spans="1:17" x14ac:dyDescent="0.2">
      <c r="A26" s="66" t="s">
        <v>77</v>
      </c>
      <c r="B26" s="82" t="s">
        <v>40</v>
      </c>
      <c r="C26" s="66">
        <v>33948.33</v>
      </c>
      <c r="D26" s="68" t="s">
        <v>69</v>
      </c>
      <c r="E26">
        <f t="shared" si="0"/>
        <v>302.10730406602113</v>
      </c>
      <c r="F26">
        <f t="shared" si="1"/>
        <v>302</v>
      </c>
      <c r="G26">
        <f t="shared" si="2"/>
        <v>5.1096953728119843E-2</v>
      </c>
      <c r="H26">
        <f t="shared" si="3"/>
        <v>5.1096953728119843E-2</v>
      </c>
      <c r="O26">
        <f t="shared" ca="1" si="4"/>
        <v>-1.6602670690102746E-2</v>
      </c>
      <c r="Q26" s="1">
        <f t="shared" si="5"/>
        <v>18929.830000000002</v>
      </c>
    </row>
    <row r="27" spans="1:17" x14ac:dyDescent="0.2">
      <c r="A27" s="66" t="s">
        <v>77</v>
      </c>
      <c r="B27" s="82" t="s">
        <v>40</v>
      </c>
      <c r="C27" s="66">
        <v>33978.28</v>
      </c>
      <c r="D27" s="68" t="s">
        <v>69</v>
      </c>
      <c r="E27">
        <f t="shared" si="0"/>
        <v>365.00257555758526</v>
      </c>
      <c r="F27">
        <f t="shared" si="1"/>
        <v>365</v>
      </c>
      <c r="G27">
        <f t="shared" si="2"/>
        <v>1.2264507022337057E-3</v>
      </c>
      <c r="H27">
        <f t="shared" si="3"/>
        <v>1.2264507022337057E-3</v>
      </c>
      <c r="O27">
        <f t="shared" ca="1" si="4"/>
        <v>-1.6574136675329563E-2</v>
      </c>
      <c r="Q27" s="1">
        <f t="shared" si="5"/>
        <v>18959.78</v>
      </c>
    </row>
    <row r="28" spans="1:17" x14ac:dyDescent="0.2">
      <c r="A28" s="66" t="s">
        <v>77</v>
      </c>
      <c r="B28" s="82" t="s">
        <v>40</v>
      </c>
      <c r="C28" s="66">
        <v>34196.370000000003</v>
      </c>
      <c r="D28" s="68" t="s">
        <v>69</v>
      </c>
      <c r="E28">
        <f t="shared" si="0"/>
        <v>822.99355250572535</v>
      </c>
      <c r="F28">
        <f t="shared" si="1"/>
        <v>823</v>
      </c>
      <c r="G28">
        <f t="shared" si="2"/>
        <v>-3.0702221192768775E-3</v>
      </c>
      <c r="H28">
        <f t="shared" si="3"/>
        <v>-3.0702221192768775E-3</v>
      </c>
      <c r="O28">
        <f t="shared" ca="1" si="4"/>
        <v>-1.636669891713723E-2</v>
      </c>
      <c r="Q28" s="1">
        <f t="shared" si="5"/>
        <v>19177.870000000003</v>
      </c>
    </row>
    <row r="29" spans="1:17" x14ac:dyDescent="0.2">
      <c r="A29" s="66" t="s">
        <v>77</v>
      </c>
      <c r="B29" s="82" t="s">
        <v>40</v>
      </c>
      <c r="C29" s="66">
        <v>34216.339999999997</v>
      </c>
      <c r="D29" s="68" t="s">
        <v>69</v>
      </c>
      <c r="E29">
        <f t="shared" si="0"/>
        <v>864.93073353030877</v>
      </c>
      <c r="F29">
        <f t="shared" si="1"/>
        <v>865</v>
      </c>
      <c r="G29">
        <f t="shared" si="2"/>
        <v>-3.2983890807372518E-2</v>
      </c>
      <c r="H29">
        <f t="shared" si="3"/>
        <v>-3.2983890807372518E-2</v>
      </c>
      <c r="O29">
        <f t="shared" ca="1" si="4"/>
        <v>-1.6347676240621774E-2</v>
      </c>
      <c r="Q29" s="1">
        <f t="shared" si="5"/>
        <v>19197.839999999997</v>
      </c>
    </row>
    <row r="30" spans="1:17" x14ac:dyDescent="0.2">
      <c r="A30" s="66" t="s">
        <v>105</v>
      </c>
      <c r="B30" s="82" t="s">
        <v>40</v>
      </c>
      <c r="C30" s="66">
        <v>34276.358</v>
      </c>
      <c r="D30" s="66" t="s">
        <v>69</v>
      </c>
      <c r="E30">
        <f t="shared" si="0"/>
        <v>990.96907758310647</v>
      </c>
      <c r="F30">
        <f t="shared" si="1"/>
        <v>991</v>
      </c>
      <c r="G30">
        <f t="shared" si="2"/>
        <v>-1.4724896864208858E-2</v>
      </c>
      <c r="I30">
        <f>+G30</f>
        <v>-1.4724896864208858E-2</v>
      </c>
      <c r="O30">
        <f t="shared" ca="1" si="4"/>
        <v>-1.6290608211075412E-2</v>
      </c>
      <c r="Q30" s="1">
        <f t="shared" si="5"/>
        <v>19257.858</v>
      </c>
    </row>
    <row r="31" spans="1:17" x14ac:dyDescent="0.2">
      <c r="A31" s="66" t="s">
        <v>77</v>
      </c>
      <c r="B31" s="82" t="s">
        <v>40</v>
      </c>
      <c r="C31" s="66">
        <v>34277.339999999997</v>
      </c>
      <c r="D31" s="66" t="s">
        <v>69</v>
      </c>
      <c r="E31">
        <f t="shared" si="0"/>
        <v>993.03128648475899</v>
      </c>
      <c r="F31">
        <f t="shared" si="1"/>
        <v>993</v>
      </c>
      <c r="G31">
        <f t="shared" si="2"/>
        <v>1.489826176839415E-2</v>
      </c>
      <c r="H31">
        <f>+G31</f>
        <v>1.489826176839415E-2</v>
      </c>
      <c r="O31">
        <f t="shared" ca="1" si="4"/>
        <v>-1.6289702369336578E-2</v>
      </c>
      <c r="Q31" s="1">
        <f t="shared" si="5"/>
        <v>19258.839999999997</v>
      </c>
    </row>
    <row r="32" spans="1:17" x14ac:dyDescent="0.2">
      <c r="A32" s="66" t="s">
        <v>105</v>
      </c>
      <c r="B32" s="82" t="s">
        <v>40</v>
      </c>
      <c r="C32" s="66">
        <v>34327.324000000001</v>
      </c>
      <c r="D32" s="66" t="s">
        <v>69</v>
      </c>
      <c r="E32">
        <f t="shared" si="0"/>
        <v>1097.9981395810828</v>
      </c>
      <c r="F32">
        <f t="shared" si="1"/>
        <v>1098</v>
      </c>
      <c r="G32">
        <f t="shared" si="2"/>
        <v>-8.8590994710102677E-4</v>
      </c>
      <c r="I32">
        <f>+G32</f>
        <v>-8.8590994710102677E-4</v>
      </c>
      <c r="O32">
        <f t="shared" ca="1" si="4"/>
        <v>-1.6242145678047944E-2</v>
      </c>
      <c r="Q32" s="1">
        <f t="shared" si="5"/>
        <v>19308.824000000001</v>
      </c>
    </row>
    <row r="33" spans="1:17" x14ac:dyDescent="0.2">
      <c r="A33" s="66" t="s">
        <v>116</v>
      </c>
      <c r="B33" s="83" t="s">
        <v>40</v>
      </c>
      <c r="C33" s="69">
        <v>34510.177000000003</v>
      </c>
      <c r="D33" s="69" t="s">
        <v>69</v>
      </c>
      <c r="E33">
        <f t="shared" si="0"/>
        <v>1481.99109711191</v>
      </c>
      <c r="F33">
        <f t="shared" si="1"/>
        <v>1482</v>
      </c>
      <c r="G33">
        <f t="shared" si="2"/>
        <v>-4.2394522170070559E-3</v>
      </c>
      <c r="I33">
        <f>+G33</f>
        <v>-4.2394522170070559E-3</v>
      </c>
      <c r="O33">
        <f t="shared" ca="1" si="4"/>
        <v>-1.6068224064192362E-2</v>
      </c>
      <c r="Q33" s="1">
        <f t="shared" si="5"/>
        <v>19491.677000000003</v>
      </c>
    </row>
    <row r="34" spans="1:17" x14ac:dyDescent="0.2">
      <c r="A34" s="66" t="s">
        <v>77</v>
      </c>
      <c r="B34" s="83" t="s">
        <v>40</v>
      </c>
      <c r="C34" s="69">
        <v>34513.49</v>
      </c>
      <c r="D34" s="69" t="s">
        <v>69</v>
      </c>
      <c r="E34">
        <f t="shared" si="0"/>
        <v>1488.9484271436706</v>
      </c>
      <c r="F34">
        <f t="shared" si="1"/>
        <v>1489</v>
      </c>
      <c r="G34">
        <f t="shared" si="2"/>
        <v>-2.45583970026928E-2</v>
      </c>
      <c r="H34">
        <f>+G34</f>
        <v>-2.45583970026928E-2</v>
      </c>
      <c r="O34">
        <f t="shared" ca="1" si="4"/>
        <v>-1.6065053618106451E-2</v>
      </c>
      <c r="Q34" s="1">
        <f t="shared" si="5"/>
        <v>19494.989999999998</v>
      </c>
    </row>
    <row r="35" spans="1:17" x14ac:dyDescent="0.2">
      <c r="A35" s="66" t="s">
        <v>77</v>
      </c>
      <c r="B35" s="83" t="s">
        <v>40</v>
      </c>
      <c r="C35" s="69">
        <v>34627.339999999997</v>
      </c>
      <c r="D35" s="69" t="s">
        <v>69</v>
      </c>
      <c r="E35">
        <f t="shared" si="0"/>
        <v>1728.0344591742278</v>
      </c>
      <c r="F35">
        <f t="shared" si="1"/>
        <v>1728</v>
      </c>
      <c r="G35">
        <f t="shared" si="2"/>
        <v>1.6409059753641486E-2</v>
      </c>
      <c r="H35">
        <f>+G35</f>
        <v>1.6409059753641486E-2</v>
      </c>
      <c r="O35">
        <f t="shared" ca="1" si="4"/>
        <v>-1.5956805530316129E-2</v>
      </c>
      <c r="Q35" s="1">
        <f t="shared" si="5"/>
        <v>19608.839999999997</v>
      </c>
    </row>
    <row r="36" spans="1:17" x14ac:dyDescent="0.2">
      <c r="A36" s="66" t="s">
        <v>77</v>
      </c>
      <c r="B36" s="83" t="s">
        <v>40</v>
      </c>
      <c r="C36" s="69">
        <v>34634.44</v>
      </c>
      <c r="D36" s="69" t="s">
        <v>69</v>
      </c>
      <c r="E36">
        <f t="shared" si="0"/>
        <v>1742.944523534512</v>
      </c>
      <c r="F36">
        <f t="shared" si="1"/>
        <v>1743</v>
      </c>
      <c r="G36">
        <f t="shared" si="2"/>
        <v>-2.6417250483063981E-2</v>
      </c>
      <c r="H36">
        <f>+G36</f>
        <v>-2.6417250483063981E-2</v>
      </c>
      <c r="O36">
        <f t="shared" ca="1" si="4"/>
        <v>-1.5950011717274896E-2</v>
      </c>
      <c r="Q36" s="1">
        <f t="shared" si="5"/>
        <v>19615.940000000002</v>
      </c>
    </row>
    <row r="37" spans="1:17" x14ac:dyDescent="0.2">
      <c r="A37" s="66" t="s">
        <v>77</v>
      </c>
      <c r="B37" s="83" t="s">
        <v>40</v>
      </c>
      <c r="C37" s="69">
        <v>34635.46</v>
      </c>
      <c r="D37" s="69" t="s">
        <v>69</v>
      </c>
      <c r="E37">
        <f t="shared" si="0"/>
        <v>1745.0865327806289</v>
      </c>
      <c r="F37">
        <f t="shared" si="1"/>
        <v>1745</v>
      </c>
      <c r="G37">
        <f t="shared" si="2"/>
        <v>4.1205908142728731E-2</v>
      </c>
      <c r="H37">
        <f>+G37</f>
        <v>4.1205908142728731E-2</v>
      </c>
      <c r="O37">
        <f t="shared" ca="1" si="4"/>
        <v>-1.5949105875536065E-2</v>
      </c>
      <c r="Q37" s="1">
        <f t="shared" si="5"/>
        <v>19616.96</v>
      </c>
    </row>
    <row r="38" spans="1:17" x14ac:dyDescent="0.2">
      <c r="A38" s="66" t="s">
        <v>105</v>
      </c>
      <c r="B38" s="83" t="s">
        <v>40</v>
      </c>
      <c r="C38" s="69">
        <v>34708.25</v>
      </c>
      <c r="D38" s="69" t="s">
        <v>69</v>
      </c>
      <c r="E38">
        <f t="shared" si="0"/>
        <v>1897.9461926093918</v>
      </c>
      <c r="F38">
        <f t="shared" si="1"/>
        <v>1898</v>
      </c>
      <c r="G38">
        <f t="shared" si="2"/>
        <v>-2.562245635635918E-2</v>
      </c>
      <c r="I38">
        <f>+G38</f>
        <v>-2.562245635635918E-2</v>
      </c>
      <c r="O38">
        <f t="shared" ca="1" si="4"/>
        <v>-1.5879808982515481E-2</v>
      </c>
      <c r="Q38" s="1">
        <f t="shared" si="5"/>
        <v>19689.75</v>
      </c>
    </row>
    <row r="39" spans="1:17" x14ac:dyDescent="0.2">
      <c r="A39" s="66" t="s">
        <v>105</v>
      </c>
      <c r="B39" s="83" t="s">
        <v>40</v>
      </c>
      <c r="C39" s="69">
        <v>34866.374000000003</v>
      </c>
      <c r="D39" s="69" t="s">
        <v>69</v>
      </c>
      <c r="E39">
        <f t="shared" si="0"/>
        <v>2230.0080259761121</v>
      </c>
      <c r="F39">
        <f t="shared" si="1"/>
        <v>2230</v>
      </c>
      <c r="G39">
        <f t="shared" si="2"/>
        <v>3.8218768895603716E-3</v>
      </c>
      <c r="I39">
        <f>+G39</f>
        <v>3.8218768895603716E-3</v>
      </c>
      <c r="O39">
        <f t="shared" ca="1" si="4"/>
        <v>-1.5729439253869507E-2</v>
      </c>
      <c r="Q39" s="1">
        <f t="shared" si="5"/>
        <v>19847.874000000003</v>
      </c>
    </row>
    <row r="40" spans="1:17" x14ac:dyDescent="0.2">
      <c r="A40" s="69" t="s">
        <v>77</v>
      </c>
      <c r="B40" s="83" t="s">
        <v>40</v>
      </c>
      <c r="C40" s="69">
        <v>34954.46</v>
      </c>
      <c r="D40" s="69" t="s">
        <v>69</v>
      </c>
      <c r="E40">
        <f t="shared" si="0"/>
        <v>2414.9894244604588</v>
      </c>
      <c r="F40">
        <f t="shared" si="1"/>
        <v>2415</v>
      </c>
      <c r="G40">
        <f t="shared" si="2"/>
        <v>-5.0359494707663544E-3</v>
      </c>
      <c r="H40">
        <f>+G40</f>
        <v>-5.0359494707663544E-3</v>
      </c>
      <c r="O40">
        <f t="shared" ca="1" si="4"/>
        <v>-1.5645648893027626E-2</v>
      </c>
      <c r="Q40" s="1">
        <f t="shared" si="5"/>
        <v>19935.96</v>
      </c>
    </row>
    <row r="41" spans="1:17" x14ac:dyDescent="0.2">
      <c r="A41" s="70" t="s">
        <v>77</v>
      </c>
      <c r="B41" s="82" t="s">
        <v>40</v>
      </c>
      <c r="C41" s="66">
        <v>35363.51</v>
      </c>
      <c r="D41" s="66" t="s">
        <v>69</v>
      </c>
      <c r="E41">
        <f t="shared" si="0"/>
        <v>3273.9981324279711</v>
      </c>
      <c r="F41">
        <f t="shared" si="1"/>
        <v>3274</v>
      </c>
      <c r="G41">
        <f t="shared" si="2"/>
        <v>-8.8931617210619152E-4</v>
      </c>
      <c r="H41">
        <f>+G41</f>
        <v>-8.8931617210619152E-4</v>
      </c>
      <c r="O41">
        <f t="shared" ca="1" si="4"/>
        <v>-1.5256589866199642E-2</v>
      </c>
      <c r="Q41" s="1">
        <f t="shared" si="5"/>
        <v>20345.010000000002</v>
      </c>
    </row>
    <row r="42" spans="1:17" x14ac:dyDescent="0.2">
      <c r="A42" s="70" t="s">
        <v>77</v>
      </c>
      <c r="B42" s="83" t="s">
        <v>40</v>
      </c>
      <c r="C42" s="69">
        <v>35364.449999999997</v>
      </c>
      <c r="D42" s="69" t="s">
        <v>69</v>
      </c>
      <c r="E42">
        <f t="shared" si="0"/>
        <v>3275.9721409488984</v>
      </c>
      <c r="F42">
        <f t="shared" si="1"/>
        <v>3276</v>
      </c>
      <c r="G42">
        <f t="shared" si="2"/>
        <v>-1.3266157548059709E-2</v>
      </c>
      <c r="H42">
        <f>+G42</f>
        <v>-1.3266157548059709E-2</v>
      </c>
      <c r="O42">
        <f t="shared" ca="1" si="4"/>
        <v>-1.525568402446081E-2</v>
      </c>
      <c r="Q42" s="1">
        <f t="shared" si="5"/>
        <v>20345.949999999997</v>
      </c>
    </row>
    <row r="43" spans="1:17" x14ac:dyDescent="0.2">
      <c r="A43" s="66" t="s">
        <v>105</v>
      </c>
      <c r="B43" s="82" t="s">
        <v>40</v>
      </c>
      <c r="C43" s="66">
        <v>35624.43</v>
      </c>
      <c r="D43" s="66" t="s">
        <v>69</v>
      </c>
      <c r="E43">
        <f t="shared" si="0"/>
        <v>3821.9324976226421</v>
      </c>
      <c r="F43">
        <f t="shared" si="1"/>
        <v>3822</v>
      </c>
      <c r="G43">
        <f t="shared" si="2"/>
        <v>-3.2143850468855817E-2</v>
      </c>
      <c r="I43">
        <f t="shared" ref="I43:I49" si="6">+G43</f>
        <v>-3.2143850468855817E-2</v>
      </c>
      <c r="O43">
        <f t="shared" ca="1" si="4"/>
        <v>-1.5008389229759904E-2</v>
      </c>
      <c r="Q43" s="1">
        <f t="shared" si="5"/>
        <v>20605.93</v>
      </c>
    </row>
    <row r="44" spans="1:17" x14ac:dyDescent="0.2">
      <c r="A44" s="66" t="s">
        <v>105</v>
      </c>
      <c r="B44" s="82" t="s">
        <v>40</v>
      </c>
      <c r="C44" s="66">
        <v>35924.463000000003</v>
      </c>
      <c r="D44" s="66" t="s">
        <v>69</v>
      </c>
      <c r="E44">
        <f t="shared" si="0"/>
        <v>4452.0045173699045</v>
      </c>
      <c r="F44">
        <f t="shared" si="1"/>
        <v>4452</v>
      </c>
      <c r="G44">
        <f t="shared" si="2"/>
        <v>2.1511192389880307E-3</v>
      </c>
      <c r="I44">
        <f t="shared" si="6"/>
        <v>2.1511192389880307E-3</v>
      </c>
      <c r="O44">
        <f t="shared" ca="1" si="4"/>
        <v>-1.4723049082028089E-2</v>
      </c>
      <c r="Q44" s="1">
        <f t="shared" si="5"/>
        <v>20905.963000000003</v>
      </c>
    </row>
    <row r="45" spans="1:17" x14ac:dyDescent="0.2">
      <c r="A45" s="66" t="s">
        <v>105</v>
      </c>
      <c r="B45" s="82" t="s">
        <v>40</v>
      </c>
      <c r="C45" s="66">
        <v>35955.404000000002</v>
      </c>
      <c r="D45" s="66" t="s">
        <v>69</v>
      </c>
      <c r="E45">
        <f t="shared" si="0"/>
        <v>4516.9808978447154</v>
      </c>
      <c r="F45">
        <f t="shared" si="1"/>
        <v>4517</v>
      </c>
      <c r="G45">
        <f t="shared" si="2"/>
        <v>-9.0962251560995355E-3</v>
      </c>
      <c r="I45">
        <f t="shared" si="6"/>
        <v>-9.0962251560995355E-3</v>
      </c>
      <c r="O45">
        <f t="shared" ca="1" si="4"/>
        <v>-1.4693609225516076E-2</v>
      </c>
      <c r="Q45" s="1">
        <f t="shared" si="5"/>
        <v>20936.904000000002</v>
      </c>
    </row>
    <row r="46" spans="1:17" x14ac:dyDescent="0.2">
      <c r="A46" s="66" t="s">
        <v>150</v>
      </c>
      <c r="B46" s="82" t="s">
        <v>40</v>
      </c>
      <c r="C46" s="66">
        <v>36867.300000000003</v>
      </c>
      <c r="D46" s="66" t="s">
        <v>69</v>
      </c>
      <c r="E46">
        <f t="shared" si="0"/>
        <v>6431.9707640242477</v>
      </c>
      <c r="F46">
        <f t="shared" si="1"/>
        <v>6432</v>
      </c>
      <c r="G46">
        <f t="shared" si="2"/>
        <v>-1.392183311691042E-2</v>
      </c>
      <c r="I46">
        <f t="shared" si="6"/>
        <v>-1.392183311691042E-2</v>
      </c>
      <c r="O46">
        <f t="shared" ca="1" si="4"/>
        <v>-1.3826265760585241E-2</v>
      </c>
      <c r="Q46" s="1">
        <f t="shared" si="5"/>
        <v>21848.800000000003</v>
      </c>
    </row>
    <row r="47" spans="1:17" x14ac:dyDescent="0.2">
      <c r="A47" s="66" t="s">
        <v>150</v>
      </c>
      <c r="B47" s="82" t="s">
        <v>40</v>
      </c>
      <c r="C47" s="66">
        <v>37575.396999999997</v>
      </c>
      <c r="D47" s="66" t="s">
        <v>69</v>
      </c>
      <c r="E47">
        <f t="shared" si="0"/>
        <v>7918.9808828010782</v>
      </c>
      <c r="F47">
        <f t="shared" si="1"/>
        <v>7919</v>
      </c>
      <c r="G47">
        <f t="shared" si="2"/>
        <v>-9.1033887656521983E-3</v>
      </c>
      <c r="I47">
        <f t="shared" si="6"/>
        <v>-9.1033887656521983E-3</v>
      </c>
      <c r="O47">
        <f t="shared" ca="1" si="4"/>
        <v>-1.3152772427764274E-2</v>
      </c>
      <c r="Q47" s="1">
        <f t="shared" si="5"/>
        <v>22556.896999999997</v>
      </c>
    </row>
    <row r="48" spans="1:17" x14ac:dyDescent="0.2">
      <c r="A48" s="66" t="s">
        <v>150</v>
      </c>
      <c r="B48" s="82" t="s">
        <v>40</v>
      </c>
      <c r="C48" s="66">
        <v>37586.362000000001</v>
      </c>
      <c r="D48" s="66" t="s">
        <v>69</v>
      </c>
      <c r="E48">
        <f t="shared" si="0"/>
        <v>7942.0074821969147</v>
      </c>
      <c r="F48">
        <f t="shared" si="1"/>
        <v>7942</v>
      </c>
      <c r="G48">
        <f t="shared" si="2"/>
        <v>3.5629355334094726E-3</v>
      </c>
      <c r="I48">
        <f t="shared" si="6"/>
        <v>3.5629355334094726E-3</v>
      </c>
      <c r="O48">
        <f t="shared" ca="1" si="4"/>
        <v>-1.3142355247767716E-2</v>
      </c>
      <c r="Q48" s="1">
        <f t="shared" si="5"/>
        <v>22567.862000000001</v>
      </c>
    </row>
    <row r="49" spans="1:17" x14ac:dyDescent="0.2">
      <c r="A49" s="66" t="s">
        <v>150</v>
      </c>
      <c r="B49" s="82" t="s">
        <v>40</v>
      </c>
      <c r="C49" s="66">
        <v>37885.409</v>
      </c>
      <c r="D49" s="66" t="s">
        <v>69</v>
      </c>
      <c r="E49">
        <f t="shared" si="0"/>
        <v>8570.0088930062466</v>
      </c>
      <c r="F49">
        <f t="shared" si="1"/>
        <v>8570</v>
      </c>
      <c r="G49">
        <f t="shared" si="2"/>
        <v>4.234746600559447E-3</v>
      </c>
      <c r="I49">
        <f t="shared" si="6"/>
        <v>4.234746600559447E-3</v>
      </c>
      <c r="O49">
        <f t="shared" ca="1" si="4"/>
        <v>-1.2857920941774731E-2</v>
      </c>
      <c r="Q49" s="1">
        <f t="shared" si="5"/>
        <v>22866.909</v>
      </c>
    </row>
    <row r="50" spans="1:17" x14ac:dyDescent="0.2">
      <c r="A50" t="s">
        <v>32</v>
      </c>
      <c r="C50" s="30">
        <f>+C33</f>
        <v>34510.177000000003</v>
      </c>
      <c r="D50" s="10" t="s">
        <v>15</v>
      </c>
      <c r="E50">
        <f t="shared" si="0"/>
        <v>1481.99109711191</v>
      </c>
      <c r="F50">
        <f t="shared" si="1"/>
        <v>1482</v>
      </c>
      <c r="H50">
        <v>0</v>
      </c>
      <c r="Q50" s="1">
        <f t="shared" si="5"/>
        <v>19491.677000000003</v>
      </c>
    </row>
    <row r="51" spans="1:17" x14ac:dyDescent="0.2">
      <c r="A51" s="66" t="s">
        <v>150</v>
      </c>
      <c r="B51" s="82" t="s">
        <v>40</v>
      </c>
      <c r="C51" s="66">
        <v>38232.531000000003</v>
      </c>
      <c r="D51" s="66" t="s">
        <v>69</v>
      </c>
      <c r="E51">
        <f t="shared" si="0"/>
        <v>9298.9682396071494</v>
      </c>
      <c r="F51">
        <f t="shared" si="1"/>
        <v>9299</v>
      </c>
      <c r="G51">
        <f t="shared" ref="G51:G80" si="7">C51-($C$7+$C$8*$F51)</f>
        <v>-1.5123931312700734E-2</v>
      </c>
      <c r="I51">
        <f t="shared" ref="I51:I64" si="8">+G51</f>
        <v>-1.5123931312700734E-2</v>
      </c>
      <c r="O51">
        <f t="shared" ref="O51:O80" ca="1" si="9">+C$11+C$12*$F51</f>
        <v>-1.2527741627970775E-2</v>
      </c>
      <c r="Q51" s="1">
        <f t="shared" si="5"/>
        <v>23214.031000000003</v>
      </c>
    </row>
    <row r="52" spans="1:17" x14ac:dyDescent="0.2">
      <c r="A52" s="66" t="s">
        <v>150</v>
      </c>
      <c r="B52" s="82" t="s">
        <v>40</v>
      </c>
      <c r="C52" s="66">
        <v>38233.485999999997</v>
      </c>
      <c r="D52" s="66" t="s">
        <v>69</v>
      </c>
      <c r="E52">
        <f t="shared" si="0"/>
        <v>9300.9737482640485</v>
      </c>
      <c r="F52">
        <f t="shared" si="1"/>
        <v>9301</v>
      </c>
      <c r="G52">
        <f t="shared" si="7"/>
        <v>-1.250077268196037E-2</v>
      </c>
      <c r="I52">
        <f t="shared" si="8"/>
        <v>-1.250077268196037E-2</v>
      </c>
      <c r="O52">
        <f t="shared" ca="1" si="9"/>
        <v>-1.2526835786231942E-2</v>
      </c>
      <c r="Q52" s="1">
        <f t="shared" si="5"/>
        <v>23214.985999999997</v>
      </c>
    </row>
    <row r="53" spans="1:17" x14ac:dyDescent="0.2">
      <c r="A53" s="66" t="s">
        <v>168</v>
      </c>
      <c r="B53" s="82" t="s">
        <v>40</v>
      </c>
      <c r="C53" s="66">
        <v>47671.555</v>
      </c>
      <c r="D53" s="66" t="s">
        <v>69</v>
      </c>
      <c r="E53">
        <f t="shared" ref="E53:E80" si="10">+(C53-C$7)/C$8</f>
        <v>29121.004202727258</v>
      </c>
      <c r="F53">
        <f t="shared" ref="F53:F80" si="11">ROUND(2*E53,0)/2</f>
        <v>29121</v>
      </c>
      <c r="G53">
        <f t="shared" si="7"/>
        <v>2.0012900567962788E-3</v>
      </c>
      <c r="I53">
        <f t="shared" si="8"/>
        <v>2.0012900567962788E-3</v>
      </c>
      <c r="O53">
        <f t="shared" ca="1" si="9"/>
        <v>-3.5499441544151501E-3</v>
      </c>
      <c r="Q53" s="1">
        <f t="shared" ref="Q53:Q80" si="12">+C53-15018.5</f>
        <v>32653.055</v>
      </c>
    </row>
    <row r="54" spans="1:17" x14ac:dyDescent="0.2">
      <c r="A54" s="66" t="s">
        <v>168</v>
      </c>
      <c r="B54" s="82" t="s">
        <v>40</v>
      </c>
      <c r="C54" s="66">
        <v>47713.453999999998</v>
      </c>
      <c r="D54" s="66" t="s">
        <v>69</v>
      </c>
      <c r="E54">
        <f t="shared" si="10"/>
        <v>29208.992482534442</v>
      </c>
      <c r="F54">
        <f t="shared" si="11"/>
        <v>29209</v>
      </c>
      <c r="G54">
        <f t="shared" si="7"/>
        <v>-3.5797300515696406E-3</v>
      </c>
      <c r="I54">
        <f t="shared" si="8"/>
        <v>-3.5797300515696406E-3</v>
      </c>
      <c r="O54">
        <f t="shared" ca="1" si="9"/>
        <v>-3.5100871179065806E-3</v>
      </c>
      <c r="Q54" s="1">
        <f t="shared" si="12"/>
        <v>32694.953999999998</v>
      </c>
    </row>
    <row r="55" spans="1:17" x14ac:dyDescent="0.2">
      <c r="A55" s="66" t="s">
        <v>168</v>
      </c>
      <c r="B55" s="82" t="s">
        <v>40</v>
      </c>
      <c r="C55" s="66">
        <v>47744.408000000003</v>
      </c>
      <c r="D55" s="66" t="s">
        <v>69</v>
      </c>
      <c r="E55">
        <f t="shared" si="10"/>
        <v>29273.996163127111</v>
      </c>
      <c r="F55">
        <f t="shared" si="11"/>
        <v>29274</v>
      </c>
      <c r="G55">
        <f t="shared" si="7"/>
        <v>-1.8270744403707795E-3</v>
      </c>
      <c r="I55">
        <f t="shared" si="8"/>
        <v>-1.8270744403707795E-3</v>
      </c>
      <c r="O55">
        <f t="shared" ca="1" si="9"/>
        <v>-3.4806472613945674E-3</v>
      </c>
      <c r="Q55" s="1">
        <f t="shared" si="12"/>
        <v>32725.908000000003</v>
      </c>
    </row>
    <row r="56" spans="1:17" x14ac:dyDescent="0.2">
      <c r="A56" s="66" t="s">
        <v>168</v>
      </c>
      <c r="B56" s="82" t="s">
        <v>40</v>
      </c>
      <c r="C56" s="66">
        <v>47753.453000000001</v>
      </c>
      <c r="D56" s="66" t="s">
        <v>69</v>
      </c>
      <c r="E56">
        <f t="shared" si="10"/>
        <v>29292.990745118466</v>
      </c>
      <c r="F56">
        <f t="shared" si="11"/>
        <v>29293</v>
      </c>
      <c r="G56">
        <f t="shared" si="7"/>
        <v>-4.4070674193790182E-3</v>
      </c>
      <c r="I56">
        <f t="shared" si="8"/>
        <v>-4.4070674193790182E-3</v>
      </c>
      <c r="O56">
        <f t="shared" ca="1" si="9"/>
        <v>-3.4720417648756718E-3</v>
      </c>
      <c r="Q56" s="1">
        <f t="shared" si="12"/>
        <v>32734.953000000001</v>
      </c>
    </row>
    <row r="57" spans="1:17" x14ac:dyDescent="0.2">
      <c r="A57" s="66" t="s">
        <v>168</v>
      </c>
      <c r="B57" s="82" t="s">
        <v>40</v>
      </c>
      <c r="C57" s="66">
        <v>47754.404000000002</v>
      </c>
      <c r="D57" s="66" t="s">
        <v>69</v>
      </c>
      <c r="E57">
        <f t="shared" si="10"/>
        <v>29294.98785373912</v>
      </c>
      <c r="F57">
        <f t="shared" si="11"/>
        <v>29295</v>
      </c>
      <c r="G57">
        <f t="shared" si="7"/>
        <v>-5.7839087894535623E-3</v>
      </c>
      <c r="I57">
        <f t="shared" si="8"/>
        <v>-5.7839087894535623E-3</v>
      </c>
      <c r="O57">
        <f t="shared" ca="1" si="9"/>
        <v>-3.4711359231368397E-3</v>
      </c>
      <c r="Q57" s="1">
        <f t="shared" si="12"/>
        <v>32735.904000000002</v>
      </c>
    </row>
    <row r="58" spans="1:17" x14ac:dyDescent="0.2">
      <c r="A58" s="66" t="s">
        <v>168</v>
      </c>
      <c r="B58" s="82" t="s">
        <v>40</v>
      </c>
      <c r="C58" s="66">
        <v>47775.360000000001</v>
      </c>
      <c r="D58" s="66" t="s">
        <v>69</v>
      </c>
      <c r="E58">
        <f t="shared" si="10"/>
        <v>29338.99564370163</v>
      </c>
      <c r="F58">
        <f t="shared" si="11"/>
        <v>29339</v>
      </c>
      <c r="G58">
        <f t="shared" si="7"/>
        <v>-2.0744188368553296E-3</v>
      </c>
      <c r="I58">
        <f t="shared" si="8"/>
        <v>-2.0744188368553296E-3</v>
      </c>
      <c r="O58">
        <f t="shared" ca="1" si="9"/>
        <v>-3.4512074048825541E-3</v>
      </c>
      <c r="Q58" s="1">
        <f t="shared" si="12"/>
        <v>32756.86</v>
      </c>
    </row>
    <row r="59" spans="1:17" x14ac:dyDescent="0.2">
      <c r="A59" s="66" t="s">
        <v>168</v>
      </c>
      <c r="B59" s="82" t="s">
        <v>40</v>
      </c>
      <c r="C59" s="66">
        <v>47991.552000000003</v>
      </c>
      <c r="D59" s="66" t="s">
        <v>69</v>
      </c>
      <c r="E59">
        <f t="shared" si="10"/>
        <v>29793.000803444727</v>
      </c>
      <c r="F59">
        <f t="shared" si="11"/>
        <v>29793</v>
      </c>
      <c r="G59">
        <f t="shared" si="7"/>
        <v>3.8259107532212511E-4</v>
      </c>
      <c r="I59">
        <f t="shared" si="8"/>
        <v>3.8259107532212511E-4</v>
      </c>
      <c r="O59">
        <f t="shared" ca="1" si="9"/>
        <v>-3.2455813301678817E-3</v>
      </c>
      <c r="Q59" s="1">
        <f t="shared" si="12"/>
        <v>32973.052000000003</v>
      </c>
    </row>
    <row r="60" spans="1:17" x14ac:dyDescent="0.2">
      <c r="A60" s="66" t="s">
        <v>188</v>
      </c>
      <c r="B60" s="82" t="s">
        <v>40</v>
      </c>
      <c r="C60" s="66">
        <v>48472.499000000003</v>
      </c>
      <c r="D60" s="66" t="s">
        <v>69</v>
      </c>
      <c r="E60">
        <f t="shared" si="10"/>
        <v>30802.993863146105</v>
      </c>
      <c r="F60">
        <f t="shared" si="11"/>
        <v>30803</v>
      </c>
      <c r="G60">
        <f t="shared" si="7"/>
        <v>-2.9222987650427967E-3</v>
      </c>
      <c r="I60">
        <f t="shared" si="8"/>
        <v>-2.9222987650427967E-3</v>
      </c>
      <c r="O60">
        <f t="shared" ca="1" si="9"/>
        <v>-2.7881312520581462E-3</v>
      </c>
      <c r="Q60" s="1">
        <f t="shared" si="12"/>
        <v>33453.999000000003</v>
      </c>
    </row>
    <row r="61" spans="1:17" x14ac:dyDescent="0.2">
      <c r="A61" s="66" t="s">
        <v>193</v>
      </c>
      <c r="B61" s="82" t="s">
        <v>40</v>
      </c>
      <c r="C61" s="66">
        <v>48762.498</v>
      </c>
      <c r="D61" s="66" t="s">
        <v>69</v>
      </c>
      <c r="E61">
        <f t="shared" si="10"/>
        <v>31411.994391936878</v>
      </c>
      <c r="F61">
        <f t="shared" si="11"/>
        <v>31412</v>
      </c>
      <c r="G61">
        <f t="shared" si="7"/>
        <v>-2.6704947231337428E-3</v>
      </c>
      <c r="I61">
        <f t="shared" si="8"/>
        <v>-2.6704947231337428E-3</v>
      </c>
      <c r="O61">
        <f t="shared" ca="1" si="9"/>
        <v>-2.5123024425840572E-3</v>
      </c>
      <c r="Q61" s="1">
        <f t="shared" si="12"/>
        <v>33743.998</v>
      </c>
    </row>
    <row r="62" spans="1:17" x14ac:dyDescent="0.2">
      <c r="A62" s="66" t="s">
        <v>193</v>
      </c>
      <c r="B62" s="82" t="s">
        <v>40</v>
      </c>
      <c r="C62" s="66">
        <v>48763.453999999998</v>
      </c>
      <c r="D62" s="66" t="s">
        <v>69</v>
      </c>
      <c r="E62">
        <f t="shared" si="10"/>
        <v>31414.00200060285</v>
      </c>
      <c r="F62">
        <f t="shared" si="11"/>
        <v>31414</v>
      </c>
      <c r="G62">
        <f t="shared" si="7"/>
        <v>9.5266391144832596E-4</v>
      </c>
      <c r="I62">
        <f t="shared" si="8"/>
        <v>9.5266391144832596E-4</v>
      </c>
      <c r="O62">
        <f t="shared" ca="1" si="9"/>
        <v>-2.5113966008452268E-3</v>
      </c>
      <c r="Q62" s="1">
        <f t="shared" si="12"/>
        <v>33744.953999999998</v>
      </c>
    </row>
    <row r="63" spans="1:17" x14ac:dyDescent="0.2">
      <c r="A63" s="66" t="s">
        <v>200</v>
      </c>
      <c r="B63" s="82" t="s">
        <v>40</v>
      </c>
      <c r="C63" s="66">
        <v>48802.476999999999</v>
      </c>
      <c r="D63" s="66" t="s">
        <v>69</v>
      </c>
      <c r="E63">
        <f t="shared" si="10"/>
        <v>31495.950654339598</v>
      </c>
      <c r="F63">
        <f t="shared" si="11"/>
        <v>31496</v>
      </c>
      <c r="G63">
        <f t="shared" si="7"/>
        <v>-2.3497832095017657E-2</v>
      </c>
      <c r="I63">
        <f t="shared" si="8"/>
        <v>-2.3497832095017657E-2</v>
      </c>
      <c r="O63">
        <f t="shared" ca="1" si="9"/>
        <v>-2.4742570895531484E-3</v>
      </c>
      <c r="Q63" s="1">
        <f t="shared" si="12"/>
        <v>33783.976999999999</v>
      </c>
    </row>
    <row r="64" spans="1:17" x14ac:dyDescent="0.2">
      <c r="A64" s="66" t="s">
        <v>206</v>
      </c>
      <c r="B64" s="82" t="s">
        <v>40</v>
      </c>
      <c r="C64" s="66">
        <v>49132.498</v>
      </c>
      <c r="D64" s="66" t="s">
        <v>69</v>
      </c>
      <c r="E64">
        <f t="shared" si="10"/>
        <v>32188.997745922887</v>
      </c>
      <c r="F64">
        <f t="shared" si="11"/>
        <v>32189</v>
      </c>
      <c r="G64">
        <f t="shared" si="7"/>
        <v>-1.0733654198702425E-3</v>
      </c>
      <c r="I64">
        <f t="shared" si="8"/>
        <v>-1.0733654198702425E-3</v>
      </c>
      <c r="O64">
        <f t="shared" ca="1" si="9"/>
        <v>-2.1603829270481524E-3</v>
      </c>
      <c r="Q64" s="1">
        <f t="shared" si="12"/>
        <v>34113.998</v>
      </c>
    </row>
    <row r="65" spans="1:17" x14ac:dyDescent="0.2">
      <c r="A65" s="30" t="s">
        <v>35</v>
      </c>
      <c r="C65" s="30">
        <v>49844.401599999997</v>
      </c>
      <c r="D65" s="30">
        <v>5.0000000000000001E-4</v>
      </c>
      <c r="E65">
        <f t="shared" si="10"/>
        <v>33684.001759205894</v>
      </c>
      <c r="F65">
        <f t="shared" si="11"/>
        <v>33684</v>
      </c>
      <c r="G65">
        <f t="shared" si="7"/>
        <v>8.3771347999572754E-4</v>
      </c>
      <c r="J65">
        <f t="shared" ref="J65:J71" si="13">+G65</f>
        <v>8.3771347999572754E-4</v>
      </c>
      <c r="O65">
        <f t="shared" ca="1" si="9"/>
        <v>-1.4832662272718598E-3</v>
      </c>
      <c r="Q65" s="1">
        <f t="shared" si="12"/>
        <v>34825.901599999997</v>
      </c>
    </row>
    <row r="66" spans="1:17" x14ac:dyDescent="0.2">
      <c r="A66" s="30" t="s">
        <v>35</v>
      </c>
      <c r="C66" s="30">
        <v>50180.588799999998</v>
      </c>
      <c r="D66" s="30">
        <v>5.0000000000000001E-4</v>
      </c>
      <c r="E66">
        <f t="shared" si="10"/>
        <v>34389.997926684722</v>
      </c>
      <c r="F66">
        <f t="shared" si="11"/>
        <v>34390</v>
      </c>
      <c r="G66">
        <f t="shared" si="7"/>
        <v>-9.8728873126674443E-4</v>
      </c>
      <c r="J66">
        <f t="shared" si="13"/>
        <v>-9.8728873126674443E-4</v>
      </c>
      <c r="O66">
        <f t="shared" ca="1" si="9"/>
        <v>-1.1635040934644611E-3</v>
      </c>
      <c r="Q66" s="1">
        <f t="shared" si="12"/>
        <v>35162.088799999998</v>
      </c>
    </row>
    <row r="67" spans="1:17" x14ac:dyDescent="0.2">
      <c r="A67" s="30" t="s">
        <v>35</v>
      </c>
      <c r="C67" s="30">
        <v>50190.589500000002</v>
      </c>
      <c r="D67" s="30">
        <v>2.0000000000000001E-4</v>
      </c>
      <c r="E67">
        <f t="shared" si="10"/>
        <v>34410.999487339344</v>
      </c>
      <c r="F67">
        <f t="shared" si="11"/>
        <v>34411</v>
      </c>
      <c r="G67">
        <f t="shared" si="7"/>
        <v>-2.4412306811427698E-4</v>
      </c>
      <c r="J67">
        <f t="shared" si="13"/>
        <v>-2.4412306811427698E-4</v>
      </c>
      <c r="O67">
        <f t="shared" ca="1" si="9"/>
        <v>-1.1539927552067335E-3</v>
      </c>
      <c r="Q67" s="1">
        <f t="shared" si="12"/>
        <v>35172.089500000002</v>
      </c>
    </row>
    <row r="68" spans="1:17" x14ac:dyDescent="0.2">
      <c r="A68" s="30" t="s">
        <v>35</v>
      </c>
      <c r="C68" s="30">
        <v>50192.493999999999</v>
      </c>
      <c r="D68" s="30">
        <v>6.9999999999999999E-4</v>
      </c>
      <c r="E68">
        <f t="shared" si="10"/>
        <v>34414.998954603303</v>
      </c>
      <c r="F68">
        <f t="shared" si="11"/>
        <v>34415</v>
      </c>
      <c r="G68">
        <f t="shared" si="7"/>
        <v>-4.9780580593505874E-4</v>
      </c>
      <c r="J68">
        <f t="shared" si="13"/>
        <v>-4.9780580593505874E-4</v>
      </c>
      <c r="O68">
        <f t="shared" ca="1" si="9"/>
        <v>-1.152181071729071E-3</v>
      </c>
      <c r="Q68" s="1">
        <f t="shared" si="12"/>
        <v>35173.993999999999</v>
      </c>
    </row>
    <row r="69" spans="1:17" x14ac:dyDescent="0.2">
      <c r="A69" s="30" t="s">
        <v>35</v>
      </c>
      <c r="C69" s="30">
        <v>50376.302100000001</v>
      </c>
      <c r="D69" s="30">
        <v>3.0999999999999999E-3</v>
      </c>
      <c r="E69">
        <f t="shared" si="10"/>
        <v>34800.997630791942</v>
      </c>
      <c r="F69">
        <f t="shared" si="11"/>
        <v>34801</v>
      </c>
      <c r="G69">
        <f t="shared" si="7"/>
        <v>-1.1281894403509796E-3</v>
      </c>
      <c r="J69">
        <f t="shared" si="13"/>
        <v>-1.1281894403509796E-3</v>
      </c>
      <c r="O69">
        <f t="shared" ca="1" si="9"/>
        <v>-9.7735361613465743E-4</v>
      </c>
      <c r="Q69" s="1">
        <f t="shared" si="12"/>
        <v>35357.802100000001</v>
      </c>
    </row>
    <row r="70" spans="1:17" x14ac:dyDescent="0.2">
      <c r="A70" s="30" t="s">
        <v>35</v>
      </c>
      <c r="C70" s="30">
        <v>50603.444799999997</v>
      </c>
      <c r="D70" s="30">
        <v>1.1000000000000001E-3</v>
      </c>
      <c r="E70">
        <f t="shared" si="10"/>
        <v>35277.99935980123</v>
      </c>
      <c r="F70">
        <f t="shared" si="11"/>
        <v>35278</v>
      </c>
      <c r="G70">
        <f t="shared" si="7"/>
        <v>-3.0485524621326476E-4</v>
      </c>
      <c r="J70">
        <f t="shared" si="13"/>
        <v>-3.0485524621326476E-4</v>
      </c>
      <c r="O70">
        <f t="shared" ca="1" si="9"/>
        <v>-7.6131036142342706E-4</v>
      </c>
      <c r="Q70" s="1">
        <f t="shared" si="12"/>
        <v>35584.944799999997</v>
      </c>
    </row>
    <row r="71" spans="1:17" x14ac:dyDescent="0.2">
      <c r="A71" s="30" t="s">
        <v>35</v>
      </c>
      <c r="C71" s="30">
        <v>50705.349699999999</v>
      </c>
      <c r="D71" s="30">
        <v>4.0000000000000002E-4</v>
      </c>
      <c r="E71">
        <f t="shared" si="10"/>
        <v>35492.00057355153</v>
      </c>
      <c r="F71">
        <f t="shared" si="11"/>
        <v>35492</v>
      </c>
      <c r="G71">
        <f t="shared" si="7"/>
        <v>2.7311859594192356E-4</v>
      </c>
      <c r="J71">
        <f t="shared" si="13"/>
        <v>2.7311859594192356E-4</v>
      </c>
      <c r="O71">
        <f t="shared" ca="1" si="9"/>
        <v>-6.6438529536849353E-4</v>
      </c>
      <c r="Q71" s="1">
        <f t="shared" si="12"/>
        <v>35686.849699999999</v>
      </c>
    </row>
    <row r="72" spans="1:17" x14ac:dyDescent="0.2">
      <c r="A72" s="30" t="s">
        <v>36</v>
      </c>
      <c r="C72" s="30">
        <v>51274.871500000001</v>
      </c>
      <c r="D72" s="10">
        <v>1.6000000000000001E-3</v>
      </c>
      <c r="E72">
        <f t="shared" si="10"/>
        <v>36688.001516168151</v>
      </c>
      <c r="F72">
        <f t="shared" si="11"/>
        <v>36688</v>
      </c>
      <c r="G72">
        <f t="shared" si="7"/>
        <v>7.2198171255877241E-4</v>
      </c>
      <c r="K72">
        <f>+G72</f>
        <v>7.2198171255877241E-4</v>
      </c>
      <c r="O72">
        <f t="shared" ca="1" si="9"/>
        <v>-1.2269193554745664E-4</v>
      </c>
      <c r="Q72" s="1">
        <f t="shared" si="12"/>
        <v>36256.371500000001</v>
      </c>
    </row>
    <row r="73" spans="1:17" x14ac:dyDescent="0.2">
      <c r="A73" s="30" t="s">
        <v>36</v>
      </c>
      <c r="C73" s="30">
        <v>51304.868000000002</v>
      </c>
      <c r="D73" s="10">
        <v>8.0000000000000004E-4</v>
      </c>
      <c r="E73">
        <f t="shared" si="10"/>
        <v>36750.994438081238</v>
      </c>
      <c r="F73">
        <f t="shared" si="11"/>
        <v>36751</v>
      </c>
      <c r="G73">
        <f t="shared" si="7"/>
        <v>-2.648521309311036E-3</v>
      </c>
      <c r="K73">
        <f>+G73</f>
        <v>-2.648521309311036E-3</v>
      </c>
      <c r="O73">
        <f t="shared" ca="1" si="9"/>
        <v>-9.4157920774277232E-5</v>
      </c>
      <c r="Q73" s="1">
        <f t="shared" si="12"/>
        <v>36286.368000000002</v>
      </c>
    </row>
    <row r="74" spans="1:17" x14ac:dyDescent="0.2">
      <c r="A74" s="66" t="s">
        <v>241</v>
      </c>
      <c r="B74" s="82" t="s">
        <v>40</v>
      </c>
      <c r="C74" s="66">
        <v>52113.4401</v>
      </c>
      <c r="D74" s="66" t="s">
        <v>69</v>
      </c>
      <c r="E74">
        <f t="shared" si="10"/>
        <v>38449.003177647479</v>
      </c>
      <c r="F74">
        <f t="shared" si="11"/>
        <v>38449</v>
      </c>
      <c r="G74">
        <f t="shared" si="7"/>
        <v>1.5131589389056899E-3</v>
      </c>
      <c r="I74">
        <f>+G74</f>
        <v>1.5131589389056899E-3</v>
      </c>
      <c r="O74">
        <f t="shared" ca="1" si="9"/>
        <v>6.7490171549337841E-4</v>
      </c>
      <c r="Q74" s="1">
        <f t="shared" si="12"/>
        <v>37094.9401</v>
      </c>
    </row>
    <row r="75" spans="1:17" x14ac:dyDescent="0.2">
      <c r="A75" s="66" t="s">
        <v>241</v>
      </c>
      <c r="B75" s="82" t="s">
        <v>40</v>
      </c>
      <c r="C75" s="66">
        <v>52196.296799999996</v>
      </c>
      <c r="D75" s="66" t="s">
        <v>69</v>
      </c>
      <c r="E75">
        <f t="shared" si="10"/>
        <v>38623.002998729127</v>
      </c>
      <c r="F75">
        <f t="shared" si="11"/>
        <v>38623</v>
      </c>
      <c r="G75">
        <f t="shared" si="7"/>
        <v>1.4279600873123854E-3</v>
      </c>
      <c r="I75">
        <f>+G75</f>
        <v>1.4279600873123854E-3</v>
      </c>
      <c r="O75">
        <f t="shared" ca="1" si="9"/>
        <v>7.5370994677168707E-4</v>
      </c>
      <c r="Q75" s="1">
        <f t="shared" si="12"/>
        <v>37177.796799999996</v>
      </c>
    </row>
    <row r="76" spans="1:17" x14ac:dyDescent="0.2">
      <c r="A76" s="66" t="s">
        <v>248</v>
      </c>
      <c r="B76" s="82" t="s">
        <v>40</v>
      </c>
      <c r="C76" s="66">
        <v>52483.439200000001</v>
      </c>
      <c r="D76" s="66" t="s">
        <v>69</v>
      </c>
      <c r="E76">
        <f t="shared" si="10"/>
        <v>39226.004641625332</v>
      </c>
      <c r="F76">
        <f t="shared" si="11"/>
        <v>39226</v>
      </c>
      <c r="G76">
        <f t="shared" si="7"/>
        <v>2.2102882358012721E-3</v>
      </c>
      <c r="I76">
        <f>+G76</f>
        <v>2.2102882358012721E-3</v>
      </c>
      <c r="O76">
        <f t="shared" ca="1" si="9"/>
        <v>1.0268212310292832E-3</v>
      </c>
      <c r="Q76" s="1">
        <f t="shared" si="12"/>
        <v>37464.939200000001</v>
      </c>
    </row>
    <row r="77" spans="1:17" x14ac:dyDescent="0.2">
      <c r="A77" s="47" t="s">
        <v>56</v>
      </c>
      <c r="B77" s="45" t="s">
        <v>40</v>
      </c>
      <c r="C77" s="46">
        <v>52486.772199999999</v>
      </c>
      <c r="D77" s="46">
        <v>2.0000000000000001E-4</v>
      </c>
      <c r="E77">
        <f t="shared" si="10"/>
        <v>39233.0039718384</v>
      </c>
      <c r="F77">
        <f t="shared" si="11"/>
        <v>39233</v>
      </c>
      <c r="G77">
        <f t="shared" si="7"/>
        <v>1.8913434541900642E-3</v>
      </c>
      <c r="K77">
        <f>+G77</f>
        <v>1.8913434541900642E-3</v>
      </c>
      <c r="O77">
        <f t="shared" ca="1" si="9"/>
        <v>1.0299916771151912E-3</v>
      </c>
      <c r="Q77" s="1">
        <f t="shared" si="12"/>
        <v>37468.272199999999</v>
      </c>
    </row>
    <row r="78" spans="1:17" x14ac:dyDescent="0.2">
      <c r="A78" s="31" t="s">
        <v>38</v>
      </c>
      <c r="C78" s="30">
        <v>52889.151299999998</v>
      </c>
      <c r="D78" s="10">
        <v>1E-4</v>
      </c>
      <c r="E78">
        <f t="shared" si="10"/>
        <v>40078.003729335345</v>
      </c>
      <c r="F78">
        <f t="shared" si="11"/>
        <v>40078</v>
      </c>
      <c r="G78">
        <f t="shared" si="7"/>
        <v>1.7758663088898174E-3</v>
      </c>
      <c r="K78">
        <f>+G78</f>
        <v>1.7758663088898174E-3</v>
      </c>
      <c r="O78">
        <f t="shared" ca="1" si="9"/>
        <v>1.4127098117713566E-3</v>
      </c>
      <c r="Q78" s="1">
        <f t="shared" si="12"/>
        <v>37870.651299999998</v>
      </c>
    </row>
    <row r="79" spans="1:17" x14ac:dyDescent="0.2">
      <c r="A79" s="41" t="s">
        <v>39</v>
      </c>
      <c r="B79" s="42" t="s">
        <v>40</v>
      </c>
      <c r="C79" s="43">
        <v>53638.672599999998</v>
      </c>
      <c r="D79" s="43">
        <v>1E-4</v>
      </c>
      <c r="E79">
        <f t="shared" si="10"/>
        <v>41652.005253616306</v>
      </c>
      <c r="F79">
        <f t="shared" si="11"/>
        <v>41652</v>
      </c>
      <c r="G79">
        <f t="shared" si="7"/>
        <v>2.5017112566274591E-3</v>
      </c>
      <c r="K79">
        <f>+G79</f>
        <v>2.5017112566274591E-3</v>
      </c>
      <c r="O79">
        <f t="shared" ca="1" si="9"/>
        <v>2.1256072602314803E-3</v>
      </c>
      <c r="Q79" s="1">
        <f t="shared" si="12"/>
        <v>38620.172599999998</v>
      </c>
    </row>
    <row r="80" spans="1:17" x14ac:dyDescent="0.2">
      <c r="A80" s="44" t="s">
        <v>48</v>
      </c>
      <c r="B80" s="45" t="s">
        <v>40</v>
      </c>
      <c r="C80" s="46">
        <v>53932.4807</v>
      </c>
      <c r="D80" s="46">
        <v>1E-4</v>
      </c>
      <c r="E80">
        <f t="shared" si="10"/>
        <v>42269.004926935922</v>
      </c>
      <c r="F80">
        <f t="shared" si="11"/>
        <v>42269</v>
      </c>
      <c r="G80">
        <f t="shared" si="7"/>
        <v>2.3461498349206522E-3</v>
      </c>
      <c r="K80">
        <f>+G80</f>
        <v>2.3461498349206522E-3</v>
      </c>
      <c r="O80">
        <f t="shared" ca="1" si="9"/>
        <v>2.4050594366608925E-3</v>
      </c>
      <c r="Q80" s="1">
        <f t="shared" si="12"/>
        <v>38913.9807</v>
      </c>
    </row>
    <row r="81" spans="1:17" x14ac:dyDescent="0.2">
      <c r="A81" s="47" t="s">
        <v>49</v>
      </c>
      <c r="B81" s="42" t="s">
        <v>40</v>
      </c>
      <c r="C81" s="46">
        <v>54002.480799999998</v>
      </c>
      <c r="D81" s="46">
        <v>5.9999999999999995E-4</v>
      </c>
      <c r="E81">
        <f t="shared" ref="E81:E93" si="14">+(C81-C$7)/C$8</f>
        <v>42416.005771474716</v>
      </c>
      <c r="F81">
        <f t="shared" ref="F81:F95" si="15">ROUND(2*E81,0)/2</f>
        <v>42416</v>
      </c>
      <c r="G81">
        <f t="shared" ref="G81:G93" si="16">C81-($C$7+$C$8*$F81)</f>
        <v>2.7483094308990985E-3</v>
      </c>
      <c r="J81">
        <f>+G81</f>
        <v>2.7483094308990985E-3</v>
      </c>
      <c r="O81">
        <f t="shared" ref="O81:O93" ca="1" si="17">+C$11+C$12*$F81</f>
        <v>2.4716388044649824E-3</v>
      </c>
      <c r="Q81" s="1">
        <f t="shared" ref="Q81:Q93" si="18">+C81-15018.5</f>
        <v>38983.980799999998</v>
      </c>
    </row>
    <row r="82" spans="1:17" x14ac:dyDescent="0.2">
      <c r="A82" s="66" t="s">
        <v>281</v>
      </c>
      <c r="B82" s="82" t="s">
        <v>40</v>
      </c>
      <c r="C82" s="66">
        <v>54310.100100000003</v>
      </c>
      <c r="D82" s="66" t="s">
        <v>69</v>
      </c>
      <c r="E82">
        <f t="shared" si="14"/>
        <v>43062.009089990483</v>
      </c>
      <c r="F82">
        <f t="shared" si="15"/>
        <v>43062</v>
      </c>
      <c r="G82">
        <f t="shared" si="16"/>
        <v>4.3285482170176692E-3</v>
      </c>
      <c r="K82">
        <f>+G82</f>
        <v>4.3285482170176692E-3</v>
      </c>
      <c r="O82">
        <f t="shared" ca="1" si="17"/>
        <v>2.7642256861074473E-3</v>
      </c>
      <c r="Q82" s="1">
        <f t="shared" si="18"/>
        <v>39291.600100000003</v>
      </c>
    </row>
    <row r="83" spans="1:17" x14ac:dyDescent="0.2">
      <c r="A83" s="66" t="s">
        <v>281</v>
      </c>
      <c r="B83" s="82" t="s">
        <v>40</v>
      </c>
      <c r="C83" s="66">
        <v>54340.099000000002</v>
      </c>
      <c r="D83" s="66" t="s">
        <v>69</v>
      </c>
      <c r="E83">
        <f t="shared" si="14"/>
        <v>43125.00705192532</v>
      </c>
      <c r="F83">
        <f t="shared" si="15"/>
        <v>43125</v>
      </c>
      <c r="G83">
        <f t="shared" si="16"/>
        <v>3.3580451854504645E-3</v>
      </c>
      <c r="K83">
        <f>+G83</f>
        <v>3.3580451854504645E-3</v>
      </c>
      <c r="O83">
        <f t="shared" ca="1" si="17"/>
        <v>2.7927597008806301E-3</v>
      </c>
      <c r="Q83" s="1">
        <f t="shared" si="18"/>
        <v>39321.599000000002</v>
      </c>
    </row>
    <row r="84" spans="1:17" x14ac:dyDescent="0.2">
      <c r="A84" s="66" t="s">
        <v>292</v>
      </c>
      <c r="B84" s="82" t="s">
        <v>40</v>
      </c>
      <c r="C84" s="66">
        <v>55011.048999999999</v>
      </c>
      <c r="D84" s="66" t="s">
        <v>69</v>
      </c>
      <c r="E84">
        <f t="shared" si="14"/>
        <v>44534.008133971023</v>
      </c>
      <c r="F84">
        <f t="shared" si="15"/>
        <v>44534</v>
      </c>
      <c r="G84">
        <f t="shared" si="16"/>
        <v>3.8733028195565566E-3</v>
      </c>
      <c r="K84">
        <f>+G84</f>
        <v>3.8733028195565566E-3</v>
      </c>
      <c r="O84">
        <f t="shared" ca="1" si="17"/>
        <v>3.4309252058871802E-3</v>
      </c>
      <c r="Q84" s="1">
        <f t="shared" si="18"/>
        <v>39992.548999999999</v>
      </c>
    </row>
    <row r="85" spans="1:17" x14ac:dyDescent="0.2">
      <c r="A85" s="44" t="s">
        <v>54</v>
      </c>
      <c r="B85" s="48" t="s">
        <v>40</v>
      </c>
      <c r="C85" s="44">
        <v>55279.618699999999</v>
      </c>
      <c r="D85" s="44">
        <v>2.0000000000000001E-4</v>
      </c>
      <c r="E85">
        <f t="shared" si="14"/>
        <v>45098.006938508908</v>
      </c>
      <c r="F85">
        <f t="shared" si="15"/>
        <v>45098</v>
      </c>
      <c r="G85">
        <f t="shared" si="16"/>
        <v>3.3040376001736149E-3</v>
      </c>
      <c r="J85">
        <f>+G85</f>
        <v>3.3040376001736149E-3</v>
      </c>
      <c r="O85">
        <f t="shared" ca="1" si="17"/>
        <v>3.6863725762375683E-3</v>
      </c>
      <c r="Q85" s="1">
        <f t="shared" si="18"/>
        <v>40261.118699999999</v>
      </c>
    </row>
    <row r="86" spans="1:17" x14ac:dyDescent="0.2">
      <c r="A86" s="49" t="s">
        <v>53</v>
      </c>
      <c r="B86" s="50" t="s">
        <v>40</v>
      </c>
      <c r="C86" s="51">
        <v>55321.5236</v>
      </c>
      <c r="D86" s="51">
        <v>4.0000000000000002E-4</v>
      </c>
      <c r="E86">
        <f t="shared" si="14"/>
        <v>45186.007608369582</v>
      </c>
      <c r="F86">
        <f t="shared" si="15"/>
        <v>45186</v>
      </c>
      <c r="G86">
        <f t="shared" si="16"/>
        <v>3.6230174955562688E-3</v>
      </c>
      <c r="K86">
        <f>+G86</f>
        <v>3.6230174955562688E-3</v>
      </c>
      <c r="O86">
        <f t="shared" ca="1" si="17"/>
        <v>3.7262296127461396E-3</v>
      </c>
      <c r="Q86" s="1">
        <f t="shared" si="18"/>
        <v>40303.0236</v>
      </c>
    </row>
    <row r="87" spans="1:17" x14ac:dyDescent="0.2">
      <c r="A87" s="44" t="s">
        <v>53</v>
      </c>
      <c r="B87" s="48" t="s">
        <v>40</v>
      </c>
      <c r="C87" s="44">
        <v>55321.5236</v>
      </c>
      <c r="D87" s="44">
        <v>4.0000000000000002E-4</v>
      </c>
      <c r="E87">
        <f t="shared" si="14"/>
        <v>45186.007608369582</v>
      </c>
      <c r="F87">
        <f t="shared" si="15"/>
        <v>45186</v>
      </c>
      <c r="G87">
        <f t="shared" si="16"/>
        <v>3.6230174955562688E-3</v>
      </c>
      <c r="K87">
        <f>+G87</f>
        <v>3.6230174955562688E-3</v>
      </c>
      <c r="O87">
        <f t="shared" ca="1" si="17"/>
        <v>3.7262296127461396E-3</v>
      </c>
      <c r="Q87" s="1">
        <f t="shared" si="18"/>
        <v>40303.0236</v>
      </c>
    </row>
    <row r="88" spans="1:17" x14ac:dyDescent="0.2">
      <c r="A88" s="66" t="s">
        <v>311</v>
      </c>
      <c r="B88" s="82" t="s">
        <v>40</v>
      </c>
      <c r="C88" s="66">
        <v>55671.520799999998</v>
      </c>
      <c r="D88" s="66" t="s">
        <v>69</v>
      </c>
      <c r="E88">
        <f t="shared" si="14"/>
        <v>45921.004901033666</v>
      </c>
      <c r="F88">
        <f t="shared" si="15"/>
        <v>45921</v>
      </c>
      <c r="G88">
        <f t="shared" si="16"/>
        <v>2.3338154787779786E-3</v>
      </c>
      <c r="I88">
        <f>+G88</f>
        <v>2.3338154787779786E-3</v>
      </c>
      <c r="O88">
        <f t="shared" ca="1" si="17"/>
        <v>4.0591264517665891E-3</v>
      </c>
      <c r="Q88" s="1">
        <f t="shared" si="18"/>
        <v>40653.020799999998</v>
      </c>
    </row>
    <row r="89" spans="1:17" x14ac:dyDescent="0.2">
      <c r="A89" s="44" t="s">
        <v>55</v>
      </c>
      <c r="B89" s="48" t="s">
        <v>40</v>
      </c>
      <c r="C89" s="44">
        <v>55674.379699999998</v>
      </c>
      <c r="D89" s="44">
        <v>2.9999999999999997E-4</v>
      </c>
      <c r="E89">
        <f t="shared" si="14"/>
        <v>45927.008616949097</v>
      </c>
      <c r="F89">
        <f t="shared" si="15"/>
        <v>45927</v>
      </c>
      <c r="G89">
        <f t="shared" si="16"/>
        <v>4.1032913795788772E-3</v>
      </c>
      <c r="J89">
        <f>+G89</f>
        <v>4.1032913795788772E-3</v>
      </c>
      <c r="O89">
        <f t="shared" ca="1" si="17"/>
        <v>4.0618439769830837E-3</v>
      </c>
      <c r="Q89" s="1">
        <f t="shared" si="18"/>
        <v>40655.879699999998</v>
      </c>
    </row>
    <row r="90" spans="1:17" x14ac:dyDescent="0.2">
      <c r="A90" s="43" t="s">
        <v>58</v>
      </c>
      <c r="B90" s="45"/>
      <c r="C90" s="43">
        <v>56933.423799999997</v>
      </c>
      <c r="D90" s="43">
        <v>1.4E-3</v>
      </c>
      <c r="E90">
        <f t="shared" si="14"/>
        <v>48571.012639966117</v>
      </c>
      <c r="F90">
        <f t="shared" si="15"/>
        <v>48571</v>
      </c>
      <c r="G90">
        <f t="shared" si="16"/>
        <v>6.0190055010025389E-3</v>
      </c>
      <c r="J90">
        <f>+G90</f>
        <v>6.0190055010025389E-3</v>
      </c>
      <c r="O90">
        <f t="shared" ca="1" si="17"/>
        <v>5.2593667557178751E-3</v>
      </c>
      <c r="Q90" s="1">
        <f t="shared" si="18"/>
        <v>41914.923799999997</v>
      </c>
    </row>
    <row r="91" spans="1:17" x14ac:dyDescent="0.2">
      <c r="A91" s="85" t="s">
        <v>325</v>
      </c>
      <c r="B91" s="86" t="s">
        <v>40</v>
      </c>
      <c r="C91" s="87">
        <v>57181.518819999998</v>
      </c>
      <c r="D91" s="87">
        <v>1E-4</v>
      </c>
      <c r="E91">
        <f t="shared" si="14"/>
        <v>49092.014430904565</v>
      </c>
      <c r="F91">
        <f t="shared" si="15"/>
        <v>49092</v>
      </c>
      <c r="G91">
        <f t="shared" si="16"/>
        <v>6.8718296533916146E-3</v>
      </c>
      <c r="K91">
        <f>+G91</f>
        <v>6.8718296533916146E-3</v>
      </c>
      <c r="O91">
        <f t="shared" ca="1" si="17"/>
        <v>5.4953385286833946E-3</v>
      </c>
      <c r="Q91" s="1">
        <f t="shared" si="18"/>
        <v>42163.018819999998</v>
      </c>
    </row>
    <row r="92" spans="1:17" x14ac:dyDescent="0.2">
      <c r="A92" s="88" t="s">
        <v>323</v>
      </c>
      <c r="B92" s="89" t="s">
        <v>40</v>
      </c>
      <c r="C92" s="90">
        <v>57230.088599999901</v>
      </c>
      <c r="D92" s="90" t="s">
        <v>324</v>
      </c>
      <c r="E92">
        <f t="shared" si="14"/>
        <v>49194.011409181017</v>
      </c>
      <c r="F92">
        <f t="shared" si="15"/>
        <v>49194</v>
      </c>
      <c r="G92">
        <f t="shared" si="16"/>
        <v>5.4329198901541531E-3</v>
      </c>
      <c r="K92">
        <f>+G92</f>
        <v>5.4329198901541531E-3</v>
      </c>
      <c r="O92">
        <f t="shared" ca="1" si="17"/>
        <v>5.5415364573637819E-3</v>
      </c>
      <c r="Q92" s="1">
        <f t="shared" si="18"/>
        <v>42211.588599999901</v>
      </c>
    </row>
    <row r="93" spans="1:17" x14ac:dyDescent="0.2">
      <c r="A93" s="90" t="s">
        <v>1</v>
      </c>
      <c r="B93" s="89" t="s">
        <v>40</v>
      </c>
      <c r="C93" s="90">
        <v>57230.088600000003</v>
      </c>
      <c r="D93" s="90" t="s">
        <v>324</v>
      </c>
      <c r="E93">
        <f t="shared" si="14"/>
        <v>49194.011409181228</v>
      </c>
      <c r="F93">
        <f t="shared" si="15"/>
        <v>49194</v>
      </c>
      <c r="G93">
        <f t="shared" si="16"/>
        <v>5.4329199920175597E-3</v>
      </c>
      <c r="K93">
        <f>+G93</f>
        <v>5.4329199920175597E-3</v>
      </c>
      <c r="O93">
        <f t="shared" ca="1" si="17"/>
        <v>5.5415364573637819E-3</v>
      </c>
      <c r="Q93" s="1">
        <f t="shared" si="18"/>
        <v>42211.588600000003</v>
      </c>
    </row>
    <row r="94" spans="1:17" x14ac:dyDescent="0.2">
      <c r="A94" s="84" t="s">
        <v>0</v>
      </c>
      <c r="B94" s="91" t="s">
        <v>40</v>
      </c>
      <c r="C94" s="91">
        <v>57913.419399999999</v>
      </c>
      <c r="D94" s="91">
        <v>6.9999999999999999E-4</v>
      </c>
      <c r="E94">
        <f>+(C94-C$7)/C$8</f>
        <v>50629.012283456745</v>
      </c>
      <c r="F94">
        <f t="shared" si="15"/>
        <v>50629</v>
      </c>
      <c r="G94">
        <f>C94-($C$7+$C$8*$F94)</f>
        <v>5.8492398675298318E-3</v>
      </c>
      <c r="K94">
        <f>+G94</f>
        <v>5.8492398675298318E-3</v>
      </c>
      <c r="O94">
        <f ca="1">+C$11+C$12*$F94</f>
        <v>6.1914779049751408E-3</v>
      </c>
      <c r="Q94" s="1">
        <f>+C94-15018.5</f>
        <v>42894.919399999999</v>
      </c>
    </row>
    <row r="95" spans="1:17" s="99" customFormat="1" ht="12" customHeight="1" x14ac:dyDescent="0.2">
      <c r="A95" s="2" t="s">
        <v>326</v>
      </c>
      <c r="B95" s="98"/>
      <c r="C95" s="92">
        <v>58942.939700000003</v>
      </c>
      <c r="D95" s="93">
        <v>2.0000000000000001E-4</v>
      </c>
      <c r="E95" s="99">
        <f>+(C95-C$7)/C$8</f>
        <v>52791.014245880222</v>
      </c>
      <c r="F95" s="99">
        <f t="shared" si="15"/>
        <v>52791</v>
      </c>
      <c r="G95" s="99">
        <f>C95-($C$7+$C$8*$F95)</f>
        <v>6.783723205444403E-3</v>
      </c>
      <c r="K95" s="99">
        <f>+G95</f>
        <v>6.783723205444403E-3</v>
      </c>
      <c r="O95" s="99">
        <f ca="1">+C$11+C$12*$F95</f>
        <v>7.1706928246516241E-3</v>
      </c>
      <c r="Q95" s="100">
        <f>+C95-15018.5</f>
        <v>43924.439700000003</v>
      </c>
    </row>
    <row r="96" spans="1:17" s="99" customFormat="1" ht="12" customHeight="1" x14ac:dyDescent="0.2">
      <c r="A96" s="94" t="s">
        <v>327</v>
      </c>
      <c r="B96" s="95" t="s">
        <v>40</v>
      </c>
      <c r="C96" s="104">
        <v>59002.463799999998</v>
      </c>
      <c r="D96" s="103">
        <v>5.0000000000000001E-4</v>
      </c>
      <c r="E96" s="99">
        <f t="shared" ref="E96:E99" si="19">+(C96-C$7)/C$8</f>
        <v>52916.015395455885</v>
      </c>
      <c r="F96" s="99">
        <f t="shared" ref="F96:F99" si="20">ROUND(2*E96,0)/2</f>
        <v>52916</v>
      </c>
      <c r="G96" s="99">
        <f t="shared" ref="G96:G99" si="21">C96-($C$7+$C$8*$F96)</f>
        <v>7.3311378218932077E-3</v>
      </c>
      <c r="K96" s="99">
        <f t="shared" ref="K96:K99" si="22">+G96</f>
        <v>7.3311378218932077E-3</v>
      </c>
      <c r="O96" s="99">
        <f t="shared" ref="O96:O99" ca="1" si="23">+C$11+C$12*$F96</f>
        <v>7.2273079333285695E-3</v>
      </c>
      <c r="Q96" s="100">
        <f t="shared" ref="Q96:Q99" si="24">+C96-15018.5</f>
        <v>43983.963799999998</v>
      </c>
    </row>
    <row r="97" spans="1:17" s="99" customFormat="1" ht="12" customHeight="1" x14ac:dyDescent="0.2">
      <c r="A97" s="94" t="s">
        <v>327</v>
      </c>
      <c r="B97" s="95" t="s">
        <v>40</v>
      </c>
      <c r="C97" s="104">
        <v>59360.557200000003</v>
      </c>
      <c r="D97" s="103">
        <v>2.0000000000000001E-4</v>
      </c>
      <c r="E97" s="99">
        <f t="shared" si="19"/>
        <v>53668.014781510632</v>
      </c>
      <c r="F97" s="99">
        <f t="shared" si="20"/>
        <v>53668</v>
      </c>
      <c r="G97" s="99">
        <f t="shared" si="21"/>
        <v>7.0387842060881667E-3</v>
      </c>
      <c r="K97" s="99">
        <f t="shared" si="22"/>
        <v>7.0387842060881667E-3</v>
      </c>
      <c r="O97" s="99">
        <f t="shared" ca="1" si="23"/>
        <v>7.5679044271290859E-3</v>
      </c>
      <c r="Q97" s="100">
        <f t="shared" si="24"/>
        <v>44342.057200000003</v>
      </c>
    </row>
    <row r="98" spans="1:17" s="99" customFormat="1" ht="12" customHeight="1" x14ac:dyDescent="0.2">
      <c r="A98" s="94" t="s">
        <v>327</v>
      </c>
      <c r="B98" s="95" t="s">
        <v>40</v>
      </c>
      <c r="C98" s="104">
        <v>59364.368000000002</v>
      </c>
      <c r="D98" s="103">
        <v>1E-4</v>
      </c>
      <c r="E98" s="99">
        <f t="shared" si="19"/>
        <v>53676.017496054876</v>
      </c>
      <c r="F98" s="99">
        <f t="shared" si="20"/>
        <v>53676</v>
      </c>
      <c r="G98" s="99">
        <f t="shared" si="21"/>
        <v>8.3314187359064817E-3</v>
      </c>
      <c r="K98" s="99">
        <f t="shared" si="22"/>
        <v>8.3314187359064817E-3</v>
      </c>
      <c r="O98" s="99">
        <f t="shared" ca="1" si="23"/>
        <v>7.5715277940844108E-3</v>
      </c>
      <c r="Q98" s="100">
        <f t="shared" si="24"/>
        <v>44345.868000000002</v>
      </c>
    </row>
    <row r="99" spans="1:17" s="99" customFormat="1" ht="12" customHeight="1" x14ac:dyDescent="0.2">
      <c r="A99" s="94" t="s">
        <v>327</v>
      </c>
      <c r="B99" s="95" t="s">
        <v>40</v>
      </c>
      <c r="C99" s="104">
        <v>59463.413800000002</v>
      </c>
      <c r="D99" s="103">
        <v>1E-4</v>
      </c>
      <c r="E99" s="99">
        <f t="shared" si="19"/>
        <v>53884.014573887922</v>
      </c>
      <c r="F99" s="99">
        <f t="shared" si="20"/>
        <v>53884</v>
      </c>
      <c r="G99" s="99">
        <f t="shared" si="21"/>
        <v>6.9399166750372387E-3</v>
      </c>
      <c r="K99" s="99">
        <f t="shared" si="22"/>
        <v>6.9399166750372387E-3</v>
      </c>
      <c r="O99" s="99">
        <f t="shared" ca="1" si="23"/>
        <v>7.6657353349228533E-3</v>
      </c>
      <c r="Q99" s="100">
        <f t="shared" si="24"/>
        <v>44444.913800000002</v>
      </c>
    </row>
    <row r="100" spans="1:17" s="99" customFormat="1" ht="12" customHeight="1" x14ac:dyDescent="0.2">
      <c r="A100" s="96" t="s">
        <v>328</v>
      </c>
      <c r="B100" s="97" t="s">
        <v>40</v>
      </c>
      <c r="C100" s="104">
        <v>59518.652399999999</v>
      </c>
      <c r="D100" s="103">
        <v>1.6999999999999999E-3</v>
      </c>
      <c r="E100" s="99">
        <f t="shared" ref="E100:E102" si="25">+(C100-C$7)/C$8</f>
        <v>54000.016134616271</v>
      </c>
      <c r="F100" s="99">
        <f t="shared" ref="F100:F102" si="26">ROUND(2*E100,0)/2</f>
        <v>54000</v>
      </c>
      <c r="G100" s="99">
        <f t="shared" ref="G100:G102" si="27">C100-($C$7+$C$8*$F100)</f>
        <v>7.6831174446851946E-3</v>
      </c>
      <c r="K100" s="99">
        <f t="shared" ref="K100:K102" si="28">+G100</f>
        <v>7.6831174446851946E-3</v>
      </c>
      <c r="O100" s="99">
        <f t="shared" ref="O100:O102" ca="1" si="29">+C$11+C$12*$F100</f>
        <v>7.7182741557750602E-3</v>
      </c>
      <c r="Q100" s="100">
        <f t="shared" ref="Q100:Q102" si="30">+C100-15018.5</f>
        <v>44500.152399999999</v>
      </c>
    </row>
    <row r="101" spans="1:17" s="99" customFormat="1" ht="12" customHeight="1" x14ac:dyDescent="0.2">
      <c r="A101" s="96" t="s">
        <v>329</v>
      </c>
      <c r="B101" s="97" t="s">
        <v>40</v>
      </c>
      <c r="C101" s="104">
        <v>59818.651599999997</v>
      </c>
      <c r="D101" s="103">
        <v>2.9999999999999997E-4</v>
      </c>
      <c r="E101" s="99">
        <f t="shared" si="25"/>
        <v>54630.017174057131</v>
      </c>
      <c r="F101" s="99">
        <f t="shared" si="26"/>
        <v>54630</v>
      </c>
      <c r="G101" s="99">
        <f t="shared" si="27"/>
        <v>8.1780871405499056E-3</v>
      </c>
      <c r="K101" s="99">
        <f t="shared" si="28"/>
        <v>8.1780871405499056E-3</v>
      </c>
      <c r="O101" s="99">
        <f t="shared" ca="1" si="29"/>
        <v>8.0036143035068751E-3</v>
      </c>
      <c r="Q101" s="100">
        <f t="shared" si="30"/>
        <v>44800.151599999997</v>
      </c>
    </row>
    <row r="102" spans="1:17" s="99" customFormat="1" ht="12" customHeight="1" x14ac:dyDescent="0.2">
      <c r="A102" s="96" t="s">
        <v>329</v>
      </c>
      <c r="B102" s="97" t="s">
        <v>40</v>
      </c>
      <c r="C102" s="104">
        <v>59823.412799999998</v>
      </c>
      <c r="D102" s="103">
        <v>1E-4</v>
      </c>
      <c r="E102" s="99">
        <f t="shared" si="25"/>
        <v>54640.015737216592</v>
      </c>
      <c r="F102" s="99">
        <f t="shared" si="26"/>
        <v>54640</v>
      </c>
      <c r="G102" s="99">
        <f t="shared" si="27"/>
        <v>7.4938803081749938E-3</v>
      </c>
      <c r="K102" s="99">
        <f t="shared" si="28"/>
        <v>7.4938803081749938E-3</v>
      </c>
      <c r="O102" s="99">
        <f t="shared" ca="1" si="29"/>
        <v>8.0081435122010304E-3</v>
      </c>
      <c r="Q102" s="100">
        <f t="shared" si="30"/>
        <v>44804.912799999998</v>
      </c>
    </row>
    <row r="103" spans="1:17" s="99" customFormat="1" ht="12" customHeight="1" x14ac:dyDescent="0.2">
      <c r="A103" s="101" t="s">
        <v>330</v>
      </c>
      <c r="B103" s="102" t="s">
        <v>40</v>
      </c>
      <c r="C103" s="103">
        <v>60142.458899999998</v>
      </c>
      <c r="D103" s="103">
        <v>1E-4</v>
      </c>
      <c r="E103" s="99">
        <f t="shared" ref="E103" si="31">+(C103-C$7)/C$8</f>
        <v>55310.015439314309</v>
      </c>
      <c r="F103" s="99">
        <f t="shared" ref="F103" si="32">ROUND(2*E103,0)/2</f>
        <v>55310</v>
      </c>
      <c r="G103" s="99">
        <f t="shared" ref="G103" si="33">C103-($C$7+$C$8*$F103)</f>
        <v>7.3520226942491718E-3</v>
      </c>
      <c r="K103" s="99">
        <f t="shared" ref="K103" si="34">+G103</f>
        <v>7.3520226942491718E-3</v>
      </c>
      <c r="O103" s="99">
        <f t="shared" ref="O103" ca="1" si="35">+C$11+C$12*$F103</f>
        <v>8.3116004947094702E-3</v>
      </c>
      <c r="Q103" s="100">
        <f t="shared" ref="Q103" si="36">+C103-15018.5</f>
        <v>45123.958899999998</v>
      </c>
    </row>
    <row r="104" spans="1:17" s="99" customFormat="1" ht="12" customHeight="1" x14ac:dyDescent="0.2">
      <c r="B104" s="98"/>
      <c r="C104" s="105"/>
      <c r="D104" s="105"/>
    </row>
    <row r="105" spans="1:17" s="99" customFormat="1" ht="12" customHeight="1" x14ac:dyDescent="0.2">
      <c r="B105" s="98"/>
      <c r="C105" s="105"/>
      <c r="D105" s="105"/>
    </row>
    <row r="106" spans="1:17" s="99" customFormat="1" ht="12" customHeight="1" x14ac:dyDescent="0.2">
      <c r="B106" s="98"/>
      <c r="C106" s="105"/>
      <c r="D106" s="105"/>
    </row>
    <row r="107" spans="1:17" s="99" customFormat="1" ht="12" customHeight="1" x14ac:dyDescent="0.2">
      <c r="B107" s="98"/>
      <c r="C107" s="105"/>
      <c r="D107" s="105"/>
    </row>
    <row r="108" spans="1:17" x14ac:dyDescent="0.2">
      <c r="C108" s="30"/>
      <c r="D108" s="30"/>
    </row>
    <row r="109" spans="1:17" x14ac:dyDescent="0.2">
      <c r="C109" s="30"/>
      <c r="D109" s="30"/>
    </row>
    <row r="110" spans="1:17" x14ac:dyDescent="0.2">
      <c r="C110" s="30"/>
      <c r="D110" s="30"/>
    </row>
    <row r="111" spans="1:17" x14ac:dyDescent="0.2">
      <c r="C111" s="30"/>
      <c r="D111" s="30"/>
    </row>
    <row r="112" spans="1:17" x14ac:dyDescent="0.2">
      <c r="C112" s="30"/>
      <c r="D112" s="30"/>
    </row>
    <row r="113" spans="3:4" x14ac:dyDescent="0.2">
      <c r="C113" s="30"/>
      <c r="D113" s="30"/>
    </row>
    <row r="114" spans="3:4" x14ac:dyDescent="0.2">
      <c r="C114" s="30"/>
      <c r="D114" s="30"/>
    </row>
    <row r="115" spans="3:4" x14ac:dyDescent="0.2">
      <c r="C115" s="30"/>
      <c r="D115" s="30"/>
    </row>
    <row r="116" spans="3:4" x14ac:dyDescent="0.2">
      <c r="C116" s="30"/>
      <c r="D116" s="30"/>
    </row>
    <row r="117" spans="3:4" x14ac:dyDescent="0.2">
      <c r="C117" s="30"/>
      <c r="D117" s="30"/>
    </row>
    <row r="118" spans="3:4" x14ac:dyDescent="0.2">
      <c r="C118" s="30"/>
      <c r="D118" s="30"/>
    </row>
    <row r="119" spans="3:4" x14ac:dyDescent="0.2">
      <c r="C119" s="30"/>
      <c r="D119" s="30"/>
    </row>
    <row r="120" spans="3:4" x14ac:dyDescent="0.2">
      <c r="C120" s="30"/>
      <c r="D120" s="30"/>
    </row>
    <row r="121" spans="3:4" x14ac:dyDescent="0.2">
      <c r="C121" s="30"/>
      <c r="D121" s="30"/>
    </row>
    <row r="122" spans="3:4" x14ac:dyDescent="0.2">
      <c r="C122" s="30"/>
      <c r="D122" s="30"/>
    </row>
    <row r="123" spans="3:4" x14ac:dyDescent="0.2">
      <c r="C123" s="30"/>
      <c r="D123" s="30"/>
    </row>
    <row r="124" spans="3:4" x14ac:dyDescent="0.2">
      <c r="C124" s="30"/>
      <c r="D124" s="30"/>
    </row>
    <row r="125" spans="3:4" x14ac:dyDescent="0.2">
      <c r="C125" s="30"/>
      <c r="D125" s="30"/>
    </row>
    <row r="126" spans="3:4" x14ac:dyDescent="0.2">
      <c r="C126" s="30"/>
      <c r="D126" s="30"/>
    </row>
    <row r="127" spans="3:4" x14ac:dyDescent="0.2">
      <c r="C127" s="30"/>
      <c r="D127" s="30"/>
    </row>
    <row r="128" spans="3:4" x14ac:dyDescent="0.2">
      <c r="C128" s="30"/>
      <c r="D128" s="30"/>
    </row>
    <row r="129" spans="3:4" x14ac:dyDescent="0.2">
      <c r="C129" s="30"/>
      <c r="D129" s="30"/>
    </row>
    <row r="130" spans="3:4" x14ac:dyDescent="0.2">
      <c r="C130" s="30"/>
      <c r="D130" s="30"/>
    </row>
    <row r="131" spans="3:4" x14ac:dyDescent="0.2">
      <c r="C131" s="30"/>
      <c r="D131" s="30"/>
    </row>
    <row r="132" spans="3:4" x14ac:dyDescent="0.2">
      <c r="C132" s="30"/>
      <c r="D132" s="30"/>
    </row>
    <row r="133" spans="3:4" x14ac:dyDescent="0.2">
      <c r="C133" s="30"/>
      <c r="D133" s="30"/>
    </row>
    <row r="134" spans="3:4" x14ac:dyDescent="0.2">
      <c r="C134" s="30"/>
      <c r="D134" s="30"/>
    </row>
    <row r="135" spans="3:4" x14ac:dyDescent="0.2">
      <c r="C135" s="30"/>
      <c r="D135" s="30"/>
    </row>
  </sheetData>
  <phoneticPr fontId="8" type="noConversion"/>
  <hyperlinks>
    <hyperlink ref="H1041" r:id="rId1" display="http://vsolj.cetus-net.org/bulletin.html" xr:uid="{00000000-0004-0000-0000-000000000000}"/>
    <hyperlink ref="H64673" r:id="rId2" display="http://vsolj.cetus-net.org/bulletin.html" xr:uid="{00000000-0004-0000-0000-000001000000}"/>
    <hyperlink ref="H64666" r:id="rId3" display="https://www.aavso.org/ejaavso" xr:uid="{00000000-0004-0000-0000-000002000000}"/>
    <hyperlink ref="AP817" r:id="rId4" display="http://cdsbib.u-strasbg.fr/cgi-bin/cdsbib?1990RMxAA..21..381G" xr:uid="{00000000-0004-0000-0000-000003000000}"/>
    <hyperlink ref="AP821" r:id="rId5" display="http://cdsbib.u-strasbg.fr/cgi-bin/cdsbib?1990RMxAA..21..381G" xr:uid="{00000000-0004-0000-0000-000004000000}"/>
    <hyperlink ref="AP820" r:id="rId6" display="http://cdsbib.u-strasbg.fr/cgi-bin/cdsbib?1990RMxAA..21..381G" xr:uid="{00000000-0004-0000-0000-000005000000}"/>
    <hyperlink ref="AP801" r:id="rId7" display="http://cdsbib.u-strasbg.fr/cgi-bin/cdsbib?1990RMxAA..21..381G" xr:uid="{00000000-0004-0000-0000-000006000000}"/>
    <hyperlink ref="I64673" r:id="rId8" display="http://vsolj.cetus-net.org/bulletin.html" xr:uid="{00000000-0004-0000-0000-000007000000}"/>
    <hyperlink ref="AQ957" r:id="rId9" display="http://cdsbib.u-strasbg.fr/cgi-bin/cdsbib?1990RMxAA..21..381G" xr:uid="{00000000-0004-0000-0000-000008000000}"/>
    <hyperlink ref="AQ55723" r:id="rId10" display="http://cdsbib.u-strasbg.fr/cgi-bin/cdsbib?1990RMxAA..21..381G" xr:uid="{00000000-0004-0000-0000-000009000000}"/>
    <hyperlink ref="AQ958" r:id="rId11" display="http://cdsbib.u-strasbg.fr/cgi-bin/cdsbib?1990RMxAA..21..381G" xr:uid="{00000000-0004-0000-0000-00000A000000}"/>
    <hyperlink ref="H64670" r:id="rId12" display="https://www.aavso.org/ejaavso" xr:uid="{00000000-0004-0000-0000-00000B000000}"/>
    <hyperlink ref="H1843" r:id="rId13" display="http://vsolj.cetus-net.org/bulletin.html" xr:uid="{00000000-0004-0000-0000-00000C000000}"/>
    <hyperlink ref="AP3087" r:id="rId14" display="http://cdsbib.u-strasbg.fr/cgi-bin/cdsbib?1990RMxAA..21..381G" xr:uid="{00000000-0004-0000-0000-00000D000000}"/>
    <hyperlink ref="AP3090" r:id="rId15" display="http://cdsbib.u-strasbg.fr/cgi-bin/cdsbib?1990RMxAA..21..381G" xr:uid="{00000000-0004-0000-0000-00000E000000}"/>
    <hyperlink ref="AP3088" r:id="rId16" display="http://cdsbib.u-strasbg.fr/cgi-bin/cdsbib?1990RMxAA..21..381G" xr:uid="{00000000-0004-0000-0000-00000F000000}"/>
    <hyperlink ref="AP3072" r:id="rId17" display="http://cdsbib.u-strasbg.fr/cgi-bin/cdsbib?1990RMxAA..21..381G" xr:uid="{00000000-0004-0000-0000-000010000000}"/>
    <hyperlink ref="I1843" r:id="rId18" display="http://vsolj.cetus-net.org/bulletin.html" xr:uid="{00000000-0004-0000-0000-000011000000}"/>
    <hyperlink ref="AQ3301" r:id="rId19" display="http://cdsbib.u-strasbg.fr/cgi-bin/cdsbib?1990RMxAA..21..381G" xr:uid="{00000000-0004-0000-0000-000012000000}"/>
    <hyperlink ref="AQ2" r:id="rId20" display="http://cdsbib.u-strasbg.fr/cgi-bin/cdsbib?1990RMxAA..21..381G" xr:uid="{00000000-0004-0000-0000-000013000000}"/>
    <hyperlink ref="AQ330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workbookViewId="0">
      <selection activeCell="A49" sqref="A4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8" t="s">
        <v>34</v>
      </c>
      <c r="B1" s="28"/>
      <c r="E1" s="22"/>
      <c r="F1" s="22"/>
    </row>
    <row r="2" spans="1:6" x14ac:dyDescent="0.2">
      <c r="A2" t="s">
        <v>27</v>
      </c>
      <c r="E2" s="22"/>
      <c r="F2" s="22"/>
    </row>
    <row r="3" spans="1:6" ht="13.5" thickBot="1" x14ac:dyDescent="0.25"/>
    <row r="4" spans="1:6" ht="14.25" thickTop="1" thickBot="1" x14ac:dyDescent="0.25">
      <c r="A4" s="7" t="s">
        <v>2</v>
      </c>
      <c r="B4" s="7"/>
      <c r="C4" s="3">
        <v>33804.47</v>
      </c>
      <c r="D4" s="4">
        <v>0.47618700000000003</v>
      </c>
    </row>
    <row r="5" spans="1:6" ht="13.5" thickTop="1" x14ac:dyDescent="0.2"/>
    <row r="6" spans="1:6" x14ac:dyDescent="0.2">
      <c r="A6" s="7" t="s">
        <v>3</v>
      </c>
    </row>
    <row r="7" spans="1:6" x14ac:dyDescent="0.2">
      <c r="A7" t="s">
        <v>4</v>
      </c>
      <c r="C7" s="22">
        <f>C4</f>
        <v>33804.47</v>
      </c>
    </row>
    <row r="8" spans="1:6" x14ac:dyDescent="0.2">
      <c r="A8" t="s">
        <v>5</v>
      </c>
      <c r="C8" s="22">
        <f>D4</f>
        <v>0.47618700000000003</v>
      </c>
    </row>
    <row r="10" spans="1:6" ht="13.5" thickBot="1" x14ac:dyDescent="0.25">
      <c r="C10" s="6" t="s">
        <v>22</v>
      </c>
      <c r="D10" s="6" t="s">
        <v>23</v>
      </c>
    </row>
    <row r="11" spans="1:6" x14ac:dyDescent="0.2">
      <c r="A11" t="s">
        <v>17</v>
      </c>
      <c r="C11">
        <f>INTERCEPT(G21:G993,$F21:$F993)</f>
        <v>-2.0019122504173759E-4</v>
      </c>
      <c r="D11" s="5"/>
    </row>
    <row r="12" spans="1:6" x14ac:dyDescent="0.2">
      <c r="A12" t="s">
        <v>18</v>
      </c>
      <c r="C12">
        <f>SLOPE(G21:G993,$F21:$F993)</f>
        <v>1.4206830102704161E-6</v>
      </c>
      <c r="D12" s="5"/>
    </row>
    <row r="13" spans="1:6" x14ac:dyDescent="0.2">
      <c r="A13" t="s">
        <v>21</v>
      </c>
      <c r="C13" s="5" t="s">
        <v>15</v>
      </c>
      <c r="D13" s="5"/>
    </row>
    <row r="14" spans="1:6" x14ac:dyDescent="0.2">
      <c r="A14" t="s">
        <v>26</v>
      </c>
    </row>
    <row r="15" spans="1:6" x14ac:dyDescent="0.2">
      <c r="A15" s="2" t="s">
        <v>19</v>
      </c>
      <c r="C15" s="29">
        <v>52889.151299999998</v>
      </c>
    </row>
    <row r="16" spans="1:6" x14ac:dyDescent="0.2">
      <c r="A16" s="7" t="s">
        <v>6</v>
      </c>
      <c r="C16">
        <f>+$C8+C12</f>
        <v>0.47618842068301032</v>
      </c>
    </row>
    <row r="17" spans="1:17" ht="13.5" thickBot="1" x14ac:dyDescent="0.25"/>
    <row r="18" spans="1:17" x14ac:dyDescent="0.2">
      <c r="A18" s="7" t="s">
        <v>7</v>
      </c>
      <c r="C18" s="3">
        <f>+C$15</f>
        <v>52889.151299999998</v>
      </c>
      <c r="D18" s="4">
        <f>+C$16</f>
        <v>0.47618842068301032</v>
      </c>
    </row>
    <row r="19" spans="1:17" ht="13.5" thickTop="1" x14ac:dyDescent="0.2"/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33</v>
      </c>
      <c r="I20" s="9" t="s">
        <v>31</v>
      </c>
      <c r="J20" s="9" t="s">
        <v>37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 x14ac:dyDescent="0.2">
      <c r="A21" t="s">
        <v>32</v>
      </c>
      <c r="C21" s="29">
        <f>+C4</f>
        <v>33804.47</v>
      </c>
      <c r="D21" s="11" t="s">
        <v>15</v>
      </c>
      <c r="E21">
        <f>+(C21-C$7)/C$8</f>
        <v>0</v>
      </c>
      <c r="F21">
        <f>ROUND(2*E21,0)/2</f>
        <v>0</v>
      </c>
      <c r="G21">
        <f>C21-($C$7+$C$8*$F21)</f>
        <v>0</v>
      </c>
      <c r="H21">
        <f>+G21</f>
        <v>0</v>
      </c>
      <c r="O21">
        <f>+C$11+C$12*$F21</f>
        <v>-2.0019122504173759E-4</v>
      </c>
      <c r="Q21" s="1">
        <f>+C21-15018.5</f>
        <v>18785.97</v>
      </c>
    </row>
    <row r="22" spans="1:17" x14ac:dyDescent="0.2">
      <c r="A22" s="30" t="s">
        <v>35</v>
      </c>
      <c r="C22" s="30">
        <v>49844.401599999997</v>
      </c>
      <c r="D22" s="30">
        <v>5.0000000000000001E-4</v>
      </c>
      <c r="E22">
        <f t="shared" ref="E22:E31" si="0">+(C22-C$7)/C$8</f>
        <v>33684.102253946447</v>
      </c>
      <c r="F22">
        <f t="shared" ref="F22:F31" si="1">ROUND(2*E22,0)/2</f>
        <v>33684</v>
      </c>
      <c r="G22">
        <f t="shared" ref="G22:G31" si="2">C22-($C$7+$C$8*$F22)</f>
        <v>4.8691999996663071E-2</v>
      </c>
      <c r="I22">
        <f t="shared" ref="I22:I30" si="3">+G22</f>
        <v>4.8691999996663071E-2</v>
      </c>
      <c r="O22">
        <f t="shared" ref="O22:O31" si="4">+C$11+C$12*$F22</f>
        <v>4.7654095292906956E-2</v>
      </c>
      <c r="Q22" s="1">
        <f t="shared" ref="Q22:Q31" si="5">+C22-15018.5</f>
        <v>34825.901599999997</v>
      </c>
    </row>
    <row r="23" spans="1:17" x14ac:dyDescent="0.2">
      <c r="A23" s="30" t="s">
        <v>35</v>
      </c>
      <c r="C23" s="30">
        <v>50180.588799999998</v>
      </c>
      <c r="D23" s="30">
        <v>5.0000000000000001E-4</v>
      </c>
      <c r="E23">
        <f t="shared" si="0"/>
        <v>34390.100527733841</v>
      </c>
      <c r="F23">
        <f t="shared" si="1"/>
        <v>34390</v>
      </c>
      <c r="G23">
        <f t="shared" si="2"/>
        <v>4.7869999994873069E-2</v>
      </c>
      <c r="I23">
        <f t="shared" si="3"/>
        <v>4.7869999994873069E-2</v>
      </c>
      <c r="O23">
        <f t="shared" si="4"/>
        <v>4.8657097498157872E-2</v>
      </c>
      <c r="Q23" s="1">
        <f t="shared" si="5"/>
        <v>35162.088799999998</v>
      </c>
    </row>
    <row r="24" spans="1:17" x14ac:dyDescent="0.2">
      <c r="A24" s="30" t="s">
        <v>35</v>
      </c>
      <c r="C24" s="30">
        <v>50190.589500000002</v>
      </c>
      <c r="D24" s="30">
        <v>2.0000000000000001E-4</v>
      </c>
      <c r="E24">
        <f t="shared" si="0"/>
        <v>34411.102151045699</v>
      </c>
      <c r="F24">
        <f t="shared" si="1"/>
        <v>34411</v>
      </c>
      <c r="G24">
        <f t="shared" si="2"/>
        <v>4.8643000001902692E-2</v>
      </c>
      <c r="I24">
        <f t="shared" si="3"/>
        <v>4.8643000001902692E-2</v>
      </c>
      <c r="O24">
        <f t="shared" si="4"/>
        <v>4.868693184137355E-2</v>
      </c>
      <c r="Q24" s="1">
        <f t="shared" si="5"/>
        <v>35172.089500000002</v>
      </c>
    </row>
    <row r="25" spans="1:17" x14ac:dyDescent="0.2">
      <c r="A25" s="30" t="s">
        <v>35</v>
      </c>
      <c r="C25" s="30">
        <v>50192.493999999999</v>
      </c>
      <c r="D25" s="30">
        <v>6.9999999999999999E-4</v>
      </c>
      <c r="E25">
        <f t="shared" si="0"/>
        <v>34415.101630241894</v>
      </c>
      <c r="F25">
        <f t="shared" si="1"/>
        <v>34415</v>
      </c>
      <c r="G25">
        <f t="shared" si="2"/>
        <v>4.8394999997981358E-2</v>
      </c>
      <c r="I25">
        <f t="shared" si="3"/>
        <v>4.8394999997981358E-2</v>
      </c>
      <c r="O25">
        <f t="shared" si="4"/>
        <v>4.869261457341463E-2</v>
      </c>
      <c r="Q25" s="1">
        <f t="shared" si="5"/>
        <v>35173.993999999999</v>
      </c>
    </row>
    <row r="26" spans="1:17" x14ac:dyDescent="0.2">
      <c r="A26" s="30" t="s">
        <v>35</v>
      </c>
      <c r="C26" s="30">
        <v>50376.302100000001</v>
      </c>
      <c r="D26" s="30">
        <v>3.0999999999999999E-3</v>
      </c>
      <c r="E26">
        <f t="shared" si="0"/>
        <v>34801.101458040641</v>
      </c>
      <c r="F26">
        <f t="shared" si="1"/>
        <v>34801</v>
      </c>
      <c r="G26">
        <f t="shared" si="2"/>
        <v>4.8312999999325257E-2</v>
      </c>
      <c r="I26">
        <f t="shared" si="3"/>
        <v>4.8312999999325257E-2</v>
      </c>
      <c r="O26">
        <f t="shared" si="4"/>
        <v>4.9240998215379014E-2</v>
      </c>
      <c r="Q26" s="1">
        <f t="shared" si="5"/>
        <v>35357.802100000001</v>
      </c>
    </row>
    <row r="27" spans="1:17" x14ac:dyDescent="0.2">
      <c r="A27" s="30" t="s">
        <v>35</v>
      </c>
      <c r="C27" s="30">
        <v>50603.444799999997</v>
      </c>
      <c r="D27" s="30">
        <v>1.1000000000000001E-3</v>
      </c>
      <c r="E27">
        <f t="shared" si="0"/>
        <v>35278.104610163646</v>
      </c>
      <c r="F27">
        <f t="shared" si="1"/>
        <v>35278</v>
      </c>
      <c r="G27">
        <f t="shared" si="2"/>
        <v>4.9813999998150393E-2</v>
      </c>
      <c r="I27">
        <f t="shared" si="3"/>
        <v>4.9813999998150393E-2</v>
      </c>
      <c r="O27">
        <f t="shared" si="4"/>
        <v>4.9918664011278001E-2</v>
      </c>
      <c r="Q27" s="1">
        <f t="shared" si="5"/>
        <v>35584.944799999997</v>
      </c>
    </row>
    <row r="28" spans="1:17" x14ac:dyDescent="0.2">
      <c r="A28" s="30" t="s">
        <v>35</v>
      </c>
      <c r="C28" s="30">
        <v>50705.349699999999</v>
      </c>
      <c r="D28" s="30">
        <v>4.0000000000000002E-4</v>
      </c>
      <c r="E28">
        <f t="shared" si="0"/>
        <v>35492.106462377167</v>
      </c>
      <c r="F28">
        <f t="shared" si="1"/>
        <v>35492</v>
      </c>
      <c r="G28">
        <f t="shared" si="2"/>
        <v>5.0695999998424668E-2</v>
      </c>
      <c r="I28">
        <f t="shared" si="3"/>
        <v>5.0695999998424668E-2</v>
      </c>
      <c r="O28">
        <f t="shared" si="4"/>
        <v>5.022269017547587E-2</v>
      </c>
      <c r="Q28" s="1">
        <f t="shared" si="5"/>
        <v>35686.849699999999</v>
      </c>
    </row>
    <row r="29" spans="1:17" x14ac:dyDescent="0.2">
      <c r="A29" s="30" t="s">
        <v>36</v>
      </c>
      <c r="C29" s="29">
        <v>51274.871500000001</v>
      </c>
      <c r="D29" s="11">
        <v>1.6000000000000001E-3</v>
      </c>
      <c r="E29">
        <f t="shared" si="0"/>
        <v>36688.110973210103</v>
      </c>
      <c r="F29">
        <f t="shared" si="1"/>
        <v>36688</v>
      </c>
      <c r="G29">
        <f t="shared" si="2"/>
        <v>5.284399999800371E-2</v>
      </c>
      <c r="I29">
        <f t="shared" si="3"/>
        <v>5.284399999800371E-2</v>
      </c>
      <c r="O29">
        <f t="shared" si="4"/>
        <v>5.192182705575929E-2</v>
      </c>
      <c r="Q29" s="1">
        <f t="shared" si="5"/>
        <v>36256.371500000001</v>
      </c>
    </row>
    <row r="30" spans="1:17" x14ac:dyDescent="0.2">
      <c r="A30" s="30" t="s">
        <v>36</v>
      </c>
      <c r="C30" s="29">
        <v>51304.868000000002</v>
      </c>
      <c r="D30" s="11">
        <v>8.0000000000000004E-4</v>
      </c>
      <c r="E30">
        <f t="shared" si="0"/>
        <v>36751.104083059807</v>
      </c>
      <c r="F30">
        <f t="shared" si="1"/>
        <v>36751</v>
      </c>
      <c r="G30">
        <f t="shared" si="2"/>
        <v>4.956300000048941E-2</v>
      </c>
      <c r="I30">
        <f t="shared" si="3"/>
        <v>4.956300000048941E-2</v>
      </c>
      <c r="O30">
        <f t="shared" si="4"/>
        <v>5.2011330085406322E-2</v>
      </c>
      <c r="Q30" s="1">
        <f t="shared" si="5"/>
        <v>36286.368000000002</v>
      </c>
    </row>
    <row r="31" spans="1:17" x14ac:dyDescent="0.2">
      <c r="A31" s="30" t="s">
        <v>37</v>
      </c>
      <c r="C31" s="29">
        <v>52889.151299999998</v>
      </c>
      <c r="D31" s="11">
        <v>1E-4</v>
      </c>
      <c r="E31">
        <f t="shared" si="0"/>
        <v>40078.123300300082</v>
      </c>
      <c r="F31">
        <f t="shared" si="1"/>
        <v>40078</v>
      </c>
      <c r="G31">
        <f t="shared" si="2"/>
        <v>5.8713999998872168E-2</v>
      </c>
      <c r="J31">
        <f>+G31</f>
        <v>5.8713999998872168E-2</v>
      </c>
      <c r="O31">
        <f t="shared" si="4"/>
        <v>5.6737942460576E-2</v>
      </c>
      <c r="Q31" s="1">
        <f t="shared" si="5"/>
        <v>37870.651299999998</v>
      </c>
    </row>
    <row r="32" spans="1:17" x14ac:dyDescent="0.2">
      <c r="A32" s="25"/>
      <c r="B32" s="26"/>
      <c r="C32" s="15"/>
      <c r="D32" s="15"/>
      <c r="Q32" s="1"/>
    </row>
    <row r="33" spans="1:17" x14ac:dyDescent="0.2">
      <c r="A33" s="14"/>
      <c r="B33" s="19"/>
      <c r="C33" s="15"/>
      <c r="D33" s="15"/>
      <c r="Q33" s="1"/>
    </row>
    <row r="34" spans="1:17" x14ac:dyDescent="0.2">
      <c r="A34" s="24"/>
      <c r="B34" s="23"/>
      <c r="C34" s="27"/>
      <c r="D34" s="23"/>
      <c r="Q34" s="1"/>
    </row>
    <row r="35" spans="1:17" x14ac:dyDescent="0.2">
      <c r="A35" s="23"/>
      <c r="B35" s="23"/>
      <c r="C35" s="15"/>
      <c r="D35" s="15"/>
      <c r="Q35" s="1"/>
    </row>
    <row r="36" spans="1:17" x14ac:dyDescent="0.2">
      <c r="A36" s="19"/>
      <c r="B36" s="16"/>
      <c r="C36" s="19"/>
      <c r="D36" s="19"/>
      <c r="Q36" s="1"/>
    </row>
    <row r="37" spans="1:17" x14ac:dyDescent="0.2">
      <c r="B37" s="5"/>
      <c r="C37" s="12"/>
      <c r="D37" s="13"/>
      <c r="Q37" s="1"/>
    </row>
    <row r="38" spans="1:17" x14ac:dyDescent="0.2">
      <c r="B38" s="5"/>
      <c r="C38" s="12"/>
      <c r="D38" s="13"/>
      <c r="Q38" s="1"/>
    </row>
    <row r="39" spans="1:17" x14ac:dyDescent="0.2">
      <c r="B39" s="5"/>
      <c r="C39" s="12"/>
      <c r="D39" s="13"/>
      <c r="Q39" s="1"/>
    </row>
    <row r="40" spans="1:17" x14ac:dyDescent="0.2">
      <c r="B40" s="5"/>
      <c r="C40" s="12"/>
      <c r="D40" s="13"/>
      <c r="Q40" s="1"/>
    </row>
    <row r="41" spans="1:17" x14ac:dyDescent="0.2">
      <c r="B41" s="5"/>
      <c r="C41" s="12"/>
      <c r="D41" s="13"/>
      <c r="Q41" s="1"/>
    </row>
    <row r="42" spans="1:17" x14ac:dyDescent="0.2">
      <c r="B42" s="5"/>
      <c r="C42" s="12"/>
      <c r="D42" s="13"/>
      <c r="Q42" s="1"/>
    </row>
    <row r="43" spans="1:17" x14ac:dyDescent="0.2">
      <c r="B43" s="5"/>
      <c r="C43" s="12"/>
      <c r="D43" s="13"/>
      <c r="Q43" s="1"/>
    </row>
    <row r="44" spans="1:17" x14ac:dyDescent="0.2">
      <c r="B44" s="5"/>
      <c r="C44" s="12"/>
      <c r="D44" s="13"/>
      <c r="Q44" s="1"/>
    </row>
    <row r="45" spans="1:17" x14ac:dyDescent="0.2">
      <c r="B45" s="5"/>
      <c r="C45" s="11"/>
      <c r="D45" s="10"/>
      <c r="Q45" s="1"/>
    </row>
    <row r="46" spans="1:17" x14ac:dyDescent="0.2">
      <c r="B46" s="5"/>
      <c r="C46" s="11"/>
      <c r="D46" s="10"/>
      <c r="Q46" s="1"/>
    </row>
    <row r="47" spans="1:17" x14ac:dyDescent="0.2">
      <c r="B47" s="5"/>
      <c r="C47" s="11"/>
      <c r="D47" s="10"/>
      <c r="Q47" s="1"/>
    </row>
    <row r="48" spans="1:17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4"/>
      <c r="B53" s="5"/>
      <c r="C53" s="15"/>
      <c r="D53" s="15"/>
      <c r="Q53" s="1"/>
    </row>
    <row r="54" spans="1:17" x14ac:dyDescent="0.2">
      <c r="A54" s="14"/>
      <c r="B54" s="16"/>
      <c r="C54" s="17"/>
      <c r="D54" s="17"/>
      <c r="Q54" s="1"/>
    </row>
    <row r="55" spans="1:17" x14ac:dyDescent="0.2">
      <c r="A55" s="14"/>
      <c r="B55" s="16"/>
      <c r="C55" s="17"/>
      <c r="D55" s="17"/>
      <c r="Q55" s="1"/>
    </row>
    <row r="56" spans="1:17" x14ac:dyDescent="0.2">
      <c r="A56" s="14"/>
      <c r="B56" s="16"/>
      <c r="C56" s="17"/>
      <c r="D56" s="17"/>
      <c r="Q56" s="1"/>
    </row>
    <row r="57" spans="1:17" x14ac:dyDescent="0.2">
      <c r="A57" s="14"/>
      <c r="B57" s="16"/>
      <c r="C57" s="17"/>
      <c r="D57" s="17"/>
      <c r="Q57" s="1"/>
    </row>
    <row r="58" spans="1:17" x14ac:dyDescent="0.2">
      <c r="A58" s="14"/>
      <c r="B58" s="16"/>
      <c r="C58" s="17"/>
      <c r="D58" s="17"/>
      <c r="Q58" s="1"/>
    </row>
    <row r="59" spans="1:17" x14ac:dyDescent="0.2">
      <c r="A59" s="18"/>
      <c r="B59" s="16"/>
      <c r="C59" s="19"/>
      <c r="D59" s="19"/>
      <c r="Q59" s="1"/>
    </row>
    <row r="60" spans="1:17" x14ac:dyDescent="0.2">
      <c r="A60" s="18"/>
      <c r="B60" s="16"/>
      <c r="C60" s="19"/>
      <c r="D60" s="19"/>
      <c r="Q60" s="1"/>
    </row>
    <row r="61" spans="1:17" x14ac:dyDescent="0.2">
      <c r="A61" s="20"/>
      <c r="B61" s="16"/>
      <c r="C61" s="19"/>
      <c r="D61" s="19"/>
      <c r="Q61" s="1"/>
    </row>
    <row r="62" spans="1:17" x14ac:dyDescent="0.2">
      <c r="A62" s="21"/>
      <c r="B62" s="5"/>
      <c r="C62" s="15"/>
      <c r="D62" s="15"/>
      <c r="Q62" s="1"/>
    </row>
    <row r="63" spans="1:17" x14ac:dyDescent="0.2">
      <c r="A63" s="21"/>
      <c r="B63" s="16"/>
      <c r="C63" s="17"/>
      <c r="D63" s="17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9"/>
  <sheetViews>
    <sheetView topLeftCell="A27" workbookViewId="0">
      <selection activeCell="A29" sqref="A29:D78"/>
    </sheetView>
  </sheetViews>
  <sheetFormatPr defaultRowHeight="12.75" x14ac:dyDescent="0.2"/>
  <cols>
    <col min="1" max="1" width="19.7109375" style="30" customWidth="1"/>
    <col min="2" max="2" width="4.42578125" style="23" customWidth="1"/>
    <col min="3" max="3" width="12.7109375" style="30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30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52" t="s">
        <v>59</v>
      </c>
      <c r="I1" s="53" t="s">
        <v>60</v>
      </c>
      <c r="J1" s="54" t="s">
        <v>61</v>
      </c>
    </row>
    <row r="2" spans="1:16" x14ac:dyDescent="0.2">
      <c r="I2" s="55" t="s">
        <v>62</v>
      </c>
      <c r="J2" s="56" t="s">
        <v>63</v>
      </c>
    </row>
    <row r="3" spans="1:16" x14ac:dyDescent="0.2">
      <c r="A3" s="57" t="s">
        <v>64</v>
      </c>
      <c r="I3" s="55" t="s">
        <v>65</v>
      </c>
      <c r="J3" s="56" t="s">
        <v>66</v>
      </c>
    </row>
    <row r="4" spans="1:16" x14ac:dyDescent="0.2">
      <c r="I4" s="55" t="s">
        <v>67</v>
      </c>
      <c r="J4" s="56" t="s">
        <v>66</v>
      </c>
    </row>
    <row r="5" spans="1:16" ht="13.5" thickBot="1" x14ac:dyDescent="0.25">
      <c r="I5" s="58" t="s">
        <v>68</v>
      </c>
      <c r="J5" s="59" t="s">
        <v>69</v>
      </c>
    </row>
    <row r="10" spans="1:16" ht="13.5" thickBot="1" x14ac:dyDescent="0.25"/>
    <row r="11" spans="1:16" ht="12.75" customHeight="1" thickBot="1" x14ac:dyDescent="0.25">
      <c r="A11" s="30" t="str">
        <f t="shared" ref="A11:A42" si="0">P11</f>
        <v>BAVM 132 </v>
      </c>
      <c r="B11" s="5" t="str">
        <f t="shared" ref="B11:B42" si="1">IF(H11=INT(H11),"I","II")</f>
        <v>I</v>
      </c>
      <c r="C11" s="30">
        <f t="shared" ref="C11:C42" si="2">1*G11</f>
        <v>49844.401599999997</v>
      </c>
      <c r="D11" s="23" t="str">
        <f t="shared" ref="D11:D42" si="3">VLOOKUP(F11,I$1:J$5,2,FALSE)</f>
        <v>vis</v>
      </c>
      <c r="E11" s="60">
        <f>VLOOKUP(C11,Active!C$21:E$972,3,FALSE)</f>
        <v>33684.001759205894</v>
      </c>
      <c r="F11" s="5" t="s">
        <v>68</v>
      </c>
      <c r="G11" s="23" t="str">
        <f t="shared" ref="G11:G42" si="4">MID(I11,3,LEN(I11)-3)</f>
        <v>49844.4016</v>
      </c>
      <c r="H11" s="30">
        <f t="shared" ref="H11:H42" si="5">1*K11</f>
        <v>33684</v>
      </c>
      <c r="I11" s="61" t="s">
        <v>207</v>
      </c>
      <c r="J11" s="62" t="s">
        <v>208</v>
      </c>
      <c r="K11" s="61">
        <v>33684</v>
      </c>
      <c r="L11" s="61" t="s">
        <v>209</v>
      </c>
      <c r="M11" s="62" t="s">
        <v>204</v>
      </c>
      <c r="N11" s="62" t="s">
        <v>205</v>
      </c>
      <c r="O11" s="63" t="s">
        <v>192</v>
      </c>
      <c r="P11" s="64" t="s">
        <v>210</v>
      </c>
    </row>
    <row r="12" spans="1:16" ht="12.75" customHeight="1" thickBot="1" x14ac:dyDescent="0.25">
      <c r="A12" s="30" t="str">
        <f t="shared" si="0"/>
        <v>BAVM 132 </v>
      </c>
      <c r="B12" s="5" t="str">
        <f t="shared" si="1"/>
        <v>I</v>
      </c>
      <c r="C12" s="30">
        <f t="shared" si="2"/>
        <v>50180.588799999998</v>
      </c>
      <c r="D12" s="23" t="str">
        <f t="shared" si="3"/>
        <v>vis</v>
      </c>
      <c r="E12" s="60">
        <f>VLOOKUP(C12,Active!C$21:E$972,3,FALSE)</f>
        <v>34389.997926684722</v>
      </c>
      <c r="F12" s="5" t="s">
        <v>68</v>
      </c>
      <c r="G12" s="23" t="str">
        <f t="shared" si="4"/>
        <v>50180.5888</v>
      </c>
      <c r="H12" s="30">
        <f t="shared" si="5"/>
        <v>34390</v>
      </c>
      <c r="I12" s="61" t="s">
        <v>211</v>
      </c>
      <c r="J12" s="62" t="s">
        <v>212</v>
      </c>
      <c r="K12" s="61">
        <v>34390</v>
      </c>
      <c r="L12" s="61" t="s">
        <v>213</v>
      </c>
      <c r="M12" s="62" t="s">
        <v>204</v>
      </c>
      <c r="N12" s="62" t="s">
        <v>205</v>
      </c>
      <c r="O12" s="63" t="s">
        <v>192</v>
      </c>
      <c r="P12" s="64" t="s">
        <v>210</v>
      </c>
    </row>
    <row r="13" spans="1:16" ht="12.75" customHeight="1" thickBot="1" x14ac:dyDescent="0.25">
      <c r="A13" s="30" t="str">
        <f t="shared" si="0"/>
        <v>BAVM 132 </v>
      </c>
      <c r="B13" s="5" t="str">
        <f t="shared" si="1"/>
        <v>I</v>
      </c>
      <c r="C13" s="30">
        <f t="shared" si="2"/>
        <v>50190.589500000002</v>
      </c>
      <c r="D13" s="23" t="str">
        <f t="shared" si="3"/>
        <v>vis</v>
      </c>
      <c r="E13" s="60">
        <f>VLOOKUP(C13,Active!C$21:E$972,3,FALSE)</f>
        <v>34410.999487339344</v>
      </c>
      <c r="F13" s="5" t="s">
        <v>68</v>
      </c>
      <c r="G13" s="23" t="str">
        <f t="shared" si="4"/>
        <v>50190.5895</v>
      </c>
      <c r="H13" s="30">
        <f t="shared" si="5"/>
        <v>34411</v>
      </c>
      <c r="I13" s="61" t="s">
        <v>214</v>
      </c>
      <c r="J13" s="62" t="s">
        <v>215</v>
      </c>
      <c r="K13" s="61">
        <v>34411</v>
      </c>
      <c r="L13" s="61" t="s">
        <v>216</v>
      </c>
      <c r="M13" s="62" t="s">
        <v>204</v>
      </c>
      <c r="N13" s="62" t="s">
        <v>205</v>
      </c>
      <c r="O13" s="63" t="s">
        <v>192</v>
      </c>
      <c r="P13" s="64" t="s">
        <v>210</v>
      </c>
    </row>
    <row r="14" spans="1:16" ht="12.75" customHeight="1" thickBot="1" x14ac:dyDescent="0.25">
      <c r="A14" s="30" t="str">
        <f t="shared" si="0"/>
        <v>BAVM 132 </v>
      </c>
      <c r="B14" s="5" t="str">
        <f t="shared" si="1"/>
        <v>I</v>
      </c>
      <c r="C14" s="30">
        <f t="shared" si="2"/>
        <v>50192.493999999999</v>
      </c>
      <c r="D14" s="23" t="str">
        <f t="shared" si="3"/>
        <v>vis</v>
      </c>
      <c r="E14" s="60">
        <f>VLOOKUP(C14,Active!C$21:E$972,3,FALSE)</f>
        <v>34414.998954603303</v>
      </c>
      <c r="F14" s="5" t="s">
        <v>68</v>
      </c>
      <c r="G14" s="23" t="str">
        <f t="shared" si="4"/>
        <v>50192.4940</v>
      </c>
      <c r="H14" s="30">
        <f t="shared" si="5"/>
        <v>34415</v>
      </c>
      <c r="I14" s="61" t="s">
        <v>217</v>
      </c>
      <c r="J14" s="62" t="s">
        <v>218</v>
      </c>
      <c r="K14" s="61">
        <v>34415</v>
      </c>
      <c r="L14" s="61" t="s">
        <v>219</v>
      </c>
      <c r="M14" s="62" t="s">
        <v>204</v>
      </c>
      <c r="N14" s="62" t="s">
        <v>205</v>
      </c>
      <c r="O14" s="63" t="s">
        <v>192</v>
      </c>
      <c r="P14" s="64" t="s">
        <v>210</v>
      </c>
    </row>
    <row r="15" spans="1:16" ht="12.75" customHeight="1" thickBot="1" x14ac:dyDescent="0.25">
      <c r="A15" s="30" t="str">
        <f t="shared" si="0"/>
        <v>BAVM 132 </v>
      </c>
      <c r="B15" s="5" t="str">
        <f t="shared" si="1"/>
        <v>I</v>
      </c>
      <c r="C15" s="30">
        <f t="shared" si="2"/>
        <v>50376.302100000001</v>
      </c>
      <c r="D15" s="23" t="str">
        <f t="shared" si="3"/>
        <v>vis</v>
      </c>
      <c r="E15" s="60">
        <f>VLOOKUP(C15,Active!C$21:E$972,3,FALSE)</f>
        <v>34800.997630791942</v>
      </c>
      <c r="F15" s="5" t="s">
        <v>68</v>
      </c>
      <c r="G15" s="23" t="str">
        <f t="shared" si="4"/>
        <v>50376.3021</v>
      </c>
      <c r="H15" s="30">
        <f t="shared" si="5"/>
        <v>34801</v>
      </c>
      <c r="I15" s="61" t="s">
        <v>220</v>
      </c>
      <c r="J15" s="62" t="s">
        <v>221</v>
      </c>
      <c r="K15" s="61">
        <v>34801</v>
      </c>
      <c r="L15" s="61" t="s">
        <v>222</v>
      </c>
      <c r="M15" s="62" t="s">
        <v>204</v>
      </c>
      <c r="N15" s="62" t="s">
        <v>205</v>
      </c>
      <c r="O15" s="63" t="s">
        <v>192</v>
      </c>
      <c r="P15" s="64" t="s">
        <v>210</v>
      </c>
    </row>
    <row r="16" spans="1:16" ht="12.75" customHeight="1" thickBot="1" x14ac:dyDescent="0.25">
      <c r="A16" s="30" t="str">
        <f t="shared" si="0"/>
        <v>BAVM 132 </v>
      </c>
      <c r="B16" s="5" t="str">
        <f t="shared" si="1"/>
        <v>I</v>
      </c>
      <c r="C16" s="30">
        <f t="shared" si="2"/>
        <v>50603.444799999997</v>
      </c>
      <c r="D16" s="23" t="str">
        <f t="shared" si="3"/>
        <v>vis</v>
      </c>
      <c r="E16" s="60">
        <f>VLOOKUP(C16,Active!C$21:E$972,3,FALSE)</f>
        <v>35277.99935980123</v>
      </c>
      <c r="F16" s="5" t="s">
        <v>68</v>
      </c>
      <c r="G16" s="23" t="str">
        <f t="shared" si="4"/>
        <v>50603.4448</v>
      </c>
      <c r="H16" s="30">
        <f t="shared" si="5"/>
        <v>35278</v>
      </c>
      <c r="I16" s="61" t="s">
        <v>223</v>
      </c>
      <c r="J16" s="62" t="s">
        <v>224</v>
      </c>
      <c r="K16" s="61">
        <v>35278</v>
      </c>
      <c r="L16" s="61" t="s">
        <v>225</v>
      </c>
      <c r="M16" s="62" t="s">
        <v>204</v>
      </c>
      <c r="N16" s="62" t="s">
        <v>205</v>
      </c>
      <c r="O16" s="63" t="s">
        <v>192</v>
      </c>
      <c r="P16" s="64" t="s">
        <v>210</v>
      </c>
    </row>
    <row r="17" spans="1:16" ht="12.75" customHeight="1" thickBot="1" x14ac:dyDescent="0.25">
      <c r="A17" s="30" t="str">
        <f t="shared" si="0"/>
        <v>BAVM 132 </v>
      </c>
      <c r="B17" s="5" t="str">
        <f t="shared" si="1"/>
        <v>I</v>
      </c>
      <c r="C17" s="30">
        <f t="shared" si="2"/>
        <v>50705.349699999999</v>
      </c>
      <c r="D17" s="23" t="str">
        <f t="shared" si="3"/>
        <v>vis</v>
      </c>
      <c r="E17" s="60">
        <f>VLOOKUP(C17,Active!C$21:E$972,3,FALSE)</f>
        <v>35492.00057355153</v>
      </c>
      <c r="F17" s="5" t="s">
        <v>68</v>
      </c>
      <c r="G17" s="23" t="str">
        <f t="shared" si="4"/>
        <v>50705.3497</v>
      </c>
      <c r="H17" s="30">
        <f t="shared" si="5"/>
        <v>35492</v>
      </c>
      <c r="I17" s="61" t="s">
        <v>226</v>
      </c>
      <c r="J17" s="62" t="s">
        <v>227</v>
      </c>
      <c r="K17" s="61">
        <v>35492</v>
      </c>
      <c r="L17" s="61" t="s">
        <v>228</v>
      </c>
      <c r="M17" s="62" t="s">
        <v>204</v>
      </c>
      <c r="N17" s="62" t="s">
        <v>205</v>
      </c>
      <c r="O17" s="63" t="s">
        <v>192</v>
      </c>
      <c r="P17" s="64" t="s">
        <v>210</v>
      </c>
    </row>
    <row r="18" spans="1:16" ht="12.75" customHeight="1" thickBot="1" x14ac:dyDescent="0.25">
      <c r="A18" s="30" t="str">
        <f t="shared" si="0"/>
        <v>IBVS 5027 </v>
      </c>
      <c r="B18" s="5" t="str">
        <f t="shared" si="1"/>
        <v>I</v>
      </c>
      <c r="C18" s="30">
        <f t="shared" si="2"/>
        <v>51274.871500000001</v>
      </c>
      <c r="D18" s="23" t="str">
        <f t="shared" si="3"/>
        <v>vis</v>
      </c>
      <c r="E18" s="60">
        <f>VLOOKUP(C18,Active!C$21:E$972,3,FALSE)</f>
        <v>36688.001516168151</v>
      </c>
      <c r="F18" s="5" t="s">
        <v>68</v>
      </c>
      <c r="G18" s="23" t="str">
        <f t="shared" si="4"/>
        <v>51274.8715</v>
      </c>
      <c r="H18" s="30">
        <f t="shared" si="5"/>
        <v>36688</v>
      </c>
      <c r="I18" s="61" t="s">
        <v>229</v>
      </c>
      <c r="J18" s="62" t="s">
        <v>230</v>
      </c>
      <c r="K18" s="61">
        <v>36688</v>
      </c>
      <c r="L18" s="61" t="s">
        <v>231</v>
      </c>
      <c r="M18" s="62" t="s">
        <v>204</v>
      </c>
      <c r="N18" s="62" t="s">
        <v>232</v>
      </c>
      <c r="O18" s="63" t="s">
        <v>233</v>
      </c>
      <c r="P18" s="64" t="s">
        <v>234</v>
      </c>
    </row>
    <row r="19" spans="1:16" ht="12.75" customHeight="1" thickBot="1" x14ac:dyDescent="0.25">
      <c r="A19" s="30" t="str">
        <f t="shared" si="0"/>
        <v>IBVS 5027 </v>
      </c>
      <c r="B19" s="5" t="str">
        <f t="shared" si="1"/>
        <v>I</v>
      </c>
      <c r="C19" s="30">
        <f t="shared" si="2"/>
        <v>51304.868000000002</v>
      </c>
      <c r="D19" s="23" t="str">
        <f t="shared" si="3"/>
        <v>vis</v>
      </c>
      <c r="E19" s="60">
        <f>VLOOKUP(C19,Active!C$21:E$972,3,FALSE)</f>
        <v>36750.994438081238</v>
      </c>
      <c r="F19" s="5" t="s">
        <v>68</v>
      </c>
      <c r="G19" s="23" t="str">
        <f t="shared" si="4"/>
        <v>51304.8680</v>
      </c>
      <c r="H19" s="30">
        <f t="shared" si="5"/>
        <v>36751</v>
      </c>
      <c r="I19" s="61" t="s">
        <v>235</v>
      </c>
      <c r="J19" s="62" t="s">
        <v>236</v>
      </c>
      <c r="K19" s="61">
        <v>36751</v>
      </c>
      <c r="L19" s="61" t="s">
        <v>237</v>
      </c>
      <c r="M19" s="62" t="s">
        <v>204</v>
      </c>
      <c r="N19" s="62" t="s">
        <v>232</v>
      </c>
      <c r="O19" s="63" t="s">
        <v>233</v>
      </c>
      <c r="P19" s="64" t="s">
        <v>234</v>
      </c>
    </row>
    <row r="20" spans="1:16" ht="12.75" customHeight="1" thickBot="1" x14ac:dyDescent="0.25">
      <c r="A20" s="30" t="str">
        <f t="shared" si="0"/>
        <v> JAAVSO 41;122 </v>
      </c>
      <c r="B20" s="5" t="str">
        <f t="shared" si="1"/>
        <v>I</v>
      </c>
      <c r="C20" s="30">
        <f t="shared" si="2"/>
        <v>52486.772199999999</v>
      </c>
      <c r="D20" s="23" t="str">
        <f t="shared" si="3"/>
        <v>vis</v>
      </c>
      <c r="E20" s="60">
        <f>VLOOKUP(C20,Active!C$21:E$972,3,FALSE)</f>
        <v>39233.0039718384</v>
      </c>
      <c r="F20" s="5" t="s">
        <v>68</v>
      </c>
      <c r="G20" s="23" t="str">
        <f t="shared" si="4"/>
        <v>52486.7722</v>
      </c>
      <c r="H20" s="30">
        <f t="shared" si="5"/>
        <v>39233</v>
      </c>
      <c r="I20" s="61" t="s">
        <v>249</v>
      </c>
      <c r="J20" s="62" t="s">
        <v>250</v>
      </c>
      <c r="K20" s="61">
        <v>39233</v>
      </c>
      <c r="L20" s="61" t="s">
        <v>251</v>
      </c>
      <c r="M20" s="62" t="s">
        <v>252</v>
      </c>
      <c r="N20" s="62" t="s">
        <v>84</v>
      </c>
      <c r="O20" s="63" t="s">
        <v>253</v>
      </c>
      <c r="P20" s="63" t="s">
        <v>254</v>
      </c>
    </row>
    <row r="21" spans="1:16" ht="12.75" customHeight="1" thickBot="1" x14ac:dyDescent="0.25">
      <c r="A21" s="30" t="str">
        <f t="shared" si="0"/>
        <v>IBVS 5592 </v>
      </c>
      <c r="B21" s="5" t="str">
        <f t="shared" si="1"/>
        <v>I</v>
      </c>
      <c r="C21" s="30">
        <f t="shared" si="2"/>
        <v>52889.151299999998</v>
      </c>
      <c r="D21" s="23" t="str">
        <f t="shared" si="3"/>
        <v>vis</v>
      </c>
      <c r="E21" s="60">
        <f>VLOOKUP(C21,Active!C$21:E$972,3,FALSE)</f>
        <v>40078.003729335345</v>
      </c>
      <c r="F21" s="5" t="s">
        <v>68</v>
      </c>
      <c r="G21" s="23" t="str">
        <f t="shared" si="4"/>
        <v>52889.1513</v>
      </c>
      <c r="H21" s="30">
        <f t="shared" si="5"/>
        <v>40078</v>
      </c>
      <c r="I21" s="61" t="s">
        <v>255</v>
      </c>
      <c r="J21" s="62" t="s">
        <v>256</v>
      </c>
      <c r="K21" s="61">
        <v>40078</v>
      </c>
      <c r="L21" s="61" t="s">
        <v>257</v>
      </c>
      <c r="M21" s="62" t="s">
        <v>204</v>
      </c>
      <c r="N21" s="62" t="s">
        <v>232</v>
      </c>
      <c r="O21" s="63" t="s">
        <v>258</v>
      </c>
      <c r="P21" s="64" t="s">
        <v>259</v>
      </c>
    </row>
    <row r="22" spans="1:16" ht="12.75" customHeight="1" thickBot="1" x14ac:dyDescent="0.25">
      <c r="A22" s="30" t="str">
        <f t="shared" si="0"/>
        <v>IBVS 5677 </v>
      </c>
      <c r="B22" s="5" t="str">
        <f t="shared" si="1"/>
        <v>I</v>
      </c>
      <c r="C22" s="30">
        <f t="shared" si="2"/>
        <v>53638.672599999998</v>
      </c>
      <c r="D22" s="23" t="str">
        <f t="shared" si="3"/>
        <v>vis</v>
      </c>
      <c r="E22" s="60">
        <f>VLOOKUP(C22,Active!C$21:E$972,3,FALSE)</f>
        <v>41652.005253616306</v>
      </c>
      <c r="F22" s="5" t="s">
        <v>68</v>
      </c>
      <c r="G22" s="23" t="str">
        <f t="shared" si="4"/>
        <v>53638.6726</v>
      </c>
      <c r="H22" s="30">
        <f t="shared" si="5"/>
        <v>41652</v>
      </c>
      <c r="I22" s="61" t="s">
        <v>260</v>
      </c>
      <c r="J22" s="62" t="s">
        <v>261</v>
      </c>
      <c r="K22" s="61">
        <v>41652</v>
      </c>
      <c r="L22" s="61" t="s">
        <v>262</v>
      </c>
      <c r="M22" s="62" t="s">
        <v>204</v>
      </c>
      <c r="N22" s="62" t="s">
        <v>232</v>
      </c>
      <c r="O22" s="63" t="s">
        <v>263</v>
      </c>
      <c r="P22" s="64" t="s">
        <v>264</v>
      </c>
    </row>
    <row r="23" spans="1:16" ht="12.75" customHeight="1" thickBot="1" x14ac:dyDescent="0.25">
      <c r="A23" s="30" t="str">
        <f t="shared" si="0"/>
        <v> BBS 133 (=IBVS 5781) </v>
      </c>
      <c r="B23" s="5" t="str">
        <f t="shared" si="1"/>
        <v>I</v>
      </c>
      <c r="C23" s="30">
        <f t="shared" si="2"/>
        <v>53932.4807</v>
      </c>
      <c r="D23" s="23" t="str">
        <f t="shared" si="3"/>
        <v>vis</v>
      </c>
      <c r="E23" s="60">
        <f>VLOOKUP(C23,Active!C$21:E$972,3,FALSE)</f>
        <v>42269.004926935922</v>
      </c>
      <c r="F23" s="5" t="s">
        <v>68</v>
      </c>
      <c r="G23" s="23" t="str">
        <f t="shared" si="4"/>
        <v>53932.4807</v>
      </c>
      <c r="H23" s="30">
        <f t="shared" si="5"/>
        <v>42269</v>
      </c>
      <c r="I23" s="61" t="s">
        <v>265</v>
      </c>
      <c r="J23" s="62" t="s">
        <v>266</v>
      </c>
      <c r="K23" s="61">
        <v>42269</v>
      </c>
      <c r="L23" s="61" t="s">
        <v>267</v>
      </c>
      <c r="M23" s="62" t="s">
        <v>252</v>
      </c>
      <c r="N23" s="62" t="s">
        <v>68</v>
      </c>
      <c r="O23" s="63" t="s">
        <v>268</v>
      </c>
      <c r="P23" s="63" t="s">
        <v>269</v>
      </c>
    </row>
    <row r="24" spans="1:16" ht="12.75" customHeight="1" thickBot="1" x14ac:dyDescent="0.25">
      <c r="A24" s="30" t="str">
        <f t="shared" si="0"/>
        <v>BAVM 183 </v>
      </c>
      <c r="B24" s="5" t="str">
        <f t="shared" si="1"/>
        <v>I</v>
      </c>
      <c r="C24" s="30">
        <f t="shared" si="2"/>
        <v>54002.480799999998</v>
      </c>
      <c r="D24" s="23" t="str">
        <f t="shared" si="3"/>
        <v>vis</v>
      </c>
      <c r="E24" s="60">
        <f>VLOOKUP(C24,Active!C$21:E$972,3,FALSE)</f>
        <v>42416.005771474716</v>
      </c>
      <c r="F24" s="5" t="s">
        <v>68</v>
      </c>
      <c r="G24" s="23" t="str">
        <f t="shared" si="4"/>
        <v>54002.4808</v>
      </c>
      <c r="H24" s="30">
        <f t="shared" si="5"/>
        <v>42416</v>
      </c>
      <c r="I24" s="61" t="s">
        <v>270</v>
      </c>
      <c r="J24" s="62" t="s">
        <v>271</v>
      </c>
      <c r="K24" s="61">
        <v>42416</v>
      </c>
      <c r="L24" s="61" t="s">
        <v>272</v>
      </c>
      <c r="M24" s="62" t="s">
        <v>252</v>
      </c>
      <c r="N24" s="62" t="s">
        <v>273</v>
      </c>
      <c r="O24" s="63" t="s">
        <v>274</v>
      </c>
      <c r="P24" s="64" t="s">
        <v>275</v>
      </c>
    </row>
    <row r="25" spans="1:16" ht="12.75" customHeight="1" thickBot="1" x14ac:dyDescent="0.25">
      <c r="A25" s="30" t="str">
        <f t="shared" si="0"/>
        <v>BAVM 214 </v>
      </c>
      <c r="B25" s="5" t="str">
        <f t="shared" si="1"/>
        <v>I</v>
      </c>
      <c r="C25" s="30">
        <f t="shared" si="2"/>
        <v>55279.618699999999</v>
      </c>
      <c r="D25" s="23" t="str">
        <f t="shared" si="3"/>
        <v>vis</v>
      </c>
      <c r="E25" s="60">
        <f>VLOOKUP(C25,Active!C$21:E$972,3,FALSE)</f>
        <v>45098.006938508908</v>
      </c>
      <c r="F25" s="5" t="s">
        <v>68</v>
      </c>
      <c r="G25" s="23" t="str">
        <f t="shared" si="4"/>
        <v>55279.6187</v>
      </c>
      <c r="H25" s="30">
        <f t="shared" si="5"/>
        <v>45098</v>
      </c>
      <c r="I25" s="61" t="s">
        <v>293</v>
      </c>
      <c r="J25" s="62" t="s">
        <v>294</v>
      </c>
      <c r="K25" s="61" t="s">
        <v>295</v>
      </c>
      <c r="L25" s="61" t="s">
        <v>296</v>
      </c>
      <c r="M25" s="62" t="s">
        <v>252</v>
      </c>
      <c r="N25" s="62" t="s">
        <v>205</v>
      </c>
      <c r="O25" s="63" t="s">
        <v>297</v>
      </c>
      <c r="P25" s="64" t="s">
        <v>298</v>
      </c>
    </row>
    <row r="26" spans="1:16" ht="12.75" customHeight="1" thickBot="1" x14ac:dyDescent="0.25">
      <c r="A26" s="30" t="str">
        <f t="shared" si="0"/>
        <v>IBVS 5988 </v>
      </c>
      <c r="B26" s="5" t="str">
        <f t="shared" si="1"/>
        <v>I</v>
      </c>
      <c r="C26" s="30">
        <f t="shared" si="2"/>
        <v>55321.5236</v>
      </c>
      <c r="D26" s="23" t="str">
        <f t="shared" si="3"/>
        <v>vis</v>
      </c>
      <c r="E26" s="60">
        <f>VLOOKUP(C26,Active!C$21:E$972,3,FALSE)</f>
        <v>45186.007608369582</v>
      </c>
      <c r="F26" s="5" t="s">
        <v>68</v>
      </c>
      <c r="G26" s="23" t="str">
        <f t="shared" si="4"/>
        <v>55321.5236</v>
      </c>
      <c r="H26" s="30">
        <f t="shared" si="5"/>
        <v>45186</v>
      </c>
      <c r="I26" s="61" t="s">
        <v>299</v>
      </c>
      <c r="J26" s="62" t="s">
        <v>300</v>
      </c>
      <c r="K26" s="61" t="s">
        <v>301</v>
      </c>
      <c r="L26" s="61" t="s">
        <v>302</v>
      </c>
      <c r="M26" s="62" t="s">
        <v>252</v>
      </c>
      <c r="N26" s="62" t="s">
        <v>303</v>
      </c>
      <c r="O26" s="63" t="s">
        <v>304</v>
      </c>
      <c r="P26" s="64" t="s">
        <v>305</v>
      </c>
    </row>
    <row r="27" spans="1:16" ht="12.75" customHeight="1" thickBot="1" x14ac:dyDescent="0.25">
      <c r="A27" s="30" t="str">
        <f t="shared" si="0"/>
        <v>BAVM 220 </v>
      </c>
      <c r="B27" s="5" t="str">
        <f t="shared" si="1"/>
        <v>I</v>
      </c>
      <c r="C27" s="30">
        <f t="shared" si="2"/>
        <v>55674.379699999998</v>
      </c>
      <c r="D27" s="23" t="str">
        <f t="shared" si="3"/>
        <v>vis</v>
      </c>
      <c r="E27" s="60">
        <f>VLOOKUP(C27,Active!C$21:E$972,3,FALSE)</f>
        <v>45927.008616949097</v>
      </c>
      <c r="F27" s="5" t="s">
        <v>68</v>
      </c>
      <c r="G27" s="23" t="str">
        <f t="shared" si="4"/>
        <v>55674.3797</v>
      </c>
      <c r="H27" s="30">
        <f t="shared" si="5"/>
        <v>45927</v>
      </c>
      <c r="I27" s="61" t="s">
        <v>312</v>
      </c>
      <c r="J27" s="62" t="s">
        <v>313</v>
      </c>
      <c r="K27" s="61" t="s">
        <v>314</v>
      </c>
      <c r="L27" s="61" t="s">
        <v>315</v>
      </c>
      <c r="M27" s="62" t="s">
        <v>252</v>
      </c>
      <c r="N27" s="62" t="s">
        <v>273</v>
      </c>
      <c r="O27" s="63" t="s">
        <v>316</v>
      </c>
      <c r="P27" s="64" t="s">
        <v>317</v>
      </c>
    </row>
    <row r="28" spans="1:16" ht="12.75" customHeight="1" thickBot="1" x14ac:dyDescent="0.25">
      <c r="A28" s="30" t="str">
        <f t="shared" si="0"/>
        <v>BAVM 239 </v>
      </c>
      <c r="B28" s="5" t="str">
        <f t="shared" si="1"/>
        <v>I</v>
      </c>
      <c r="C28" s="30">
        <f t="shared" si="2"/>
        <v>56933.423799999997</v>
      </c>
      <c r="D28" s="23" t="str">
        <f t="shared" si="3"/>
        <v>CCD</v>
      </c>
      <c r="E28" s="60">
        <f>VLOOKUP(C28,Active!C$21:E$972,3,FALSE)</f>
        <v>48571.012639966117</v>
      </c>
      <c r="F28" s="5" t="str">
        <f>LEFT(M28,1)</f>
        <v>C</v>
      </c>
      <c r="G28" s="23" t="str">
        <f t="shared" si="4"/>
        <v>56933.4238</v>
      </c>
      <c r="H28" s="30">
        <f t="shared" si="5"/>
        <v>48571</v>
      </c>
      <c r="I28" s="61" t="s">
        <v>318</v>
      </c>
      <c r="J28" s="62" t="s">
        <v>319</v>
      </c>
      <c r="K28" s="61" t="s">
        <v>320</v>
      </c>
      <c r="L28" s="61" t="s">
        <v>321</v>
      </c>
      <c r="M28" s="62" t="s">
        <v>252</v>
      </c>
      <c r="N28" s="62" t="s">
        <v>273</v>
      </c>
      <c r="O28" s="63" t="s">
        <v>316</v>
      </c>
      <c r="P28" s="64" t="s">
        <v>322</v>
      </c>
    </row>
    <row r="29" spans="1:16" ht="12.75" customHeight="1" thickBot="1" x14ac:dyDescent="0.25">
      <c r="A29" s="30" t="str">
        <f t="shared" si="0"/>
        <v> AC 164.15 </v>
      </c>
      <c r="B29" s="5" t="str">
        <f t="shared" si="1"/>
        <v>I</v>
      </c>
      <c r="C29" s="30">
        <f t="shared" si="2"/>
        <v>33804.5</v>
      </c>
      <c r="D29" s="23" t="str">
        <f t="shared" si="3"/>
        <v>vis</v>
      </c>
      <c r="E29" s="60">
        <f>VLOOKUP(C29,Active!C$21:E$972,3,FALSE)</f>
        <v>6.3000271942366876E-2</v>
      </c>
      <c r="F29" s="5" t="s">
        <v>68</v>
      </c>
      <c r="G29" s="23" t="str">
        <f t="shared" si="4"/>
        <v>33804.50</v>
      </c>
      <c r="H29" s="30">
        <f t="shared" si="5"/>
        <v>0</v>
      </c>
      <c r="I29" s="61" t="s">
        <v>72</v>
      </c>
      <c r="J29" s="62" t="s">
        <v>73</v>
      </c>
      <c r="K29" s="61">
        <v>0</v>
      </c>
      <c r="L29" s="61" t="s">
        <v>74</v>
      </c>
      <c r="M29" s="62" t="s">
        <v>75</v>
      </c>
      <c r="N29" s="62"/>
      <c r="O29" s="63" t="s">
        <v>76</v>
      </c>
      <c r="P29" s="63" t="s">
        <v>77</v>
      </c>
    </row>
    <row r="30" spans="1:16" ht="12.75" customHeight="1" thickBot="1" x14ac:dyDescent="0.25">
      <c r="A30" s="30" t="str">
        <f t="shared" si="0"/>
        <v> AC 164.15 </v>
      </c>
      <c r="B30" s="5" t="str">
        <f t="shared" si="1"/>
        <v>I</v>
      </c>
      <c r="C30" s="30">
        <f t="shared" si="2"/>
        <v>33824.44</v>
      </c>
      <c r="D30" s="23" t="str">
        <f t="shared" si="3"/>
        <v>vis</v>
      </c>
      <c r="E30" s="60">
        <f>VLOOKUP(C30,Active!C$21:E$972,3,FALSE)</f>
        <v>41.937181024598701</v>
      </c>
      <c r="F30" s="5" t="s">
        <v>68</v>
      </c>
      <c r="G30" s="23" t="str">
        <f t="shared" si="4"/>
        <v>33824.44</v>
      </c>
      <c r="H30" s="30">
        <f t="shared" si="5"/>
        <v>42</v>
      </c>
      <c r="I30" s="61" t="s">
        <v>78</v>
      </c>
      <c r="J30" s="62" t="s">
        <v>79</v>
      </c>
      <c r="K30" s="61">
        <v>42</v>
      </c>
      <c r="L30" s="61" t="s">
        <v>80</v>
      </c>
      <c r="M30" s="62" t="s">
        <v>75</v>
      </c>
      <c r="N30" s="62"/>
      <c r="O30" s="63" t="s">
        <v>76</v>
      </c>
      <c r="P30" s="63" t="s">
        <v>77</v>
      </c>
    </row>
    <row r="31" spans="1:16" ht="12.75" customHeight="1" thickBot="1" x14ac:dyDescent="0.25">
      <c r="A31" s="30" t="str">
        <f t="shared" si="0"/>
        <v> AC 164.15 </v>
      </c>
      <c r="B31" s="5" t="str">
        <f t="shared" si="1"/>
        <v>I</v>
      </c>
      <c r="C31" s="30">
        <f t="shared" si="2"/>
        <v>33836.370000000003</v>
      </c>
      <c r="D31" s="23" t="str">
        <f t="shared" si="3"/>
        <v>vis</v>
      </c>
      <c r="E31" s="60">
        <f>VLOOKUP(C31,Active!C$21:E$972,3,FALSE)</f>
        <v>66.990289167986063</v>
      </c>
      <c r="F31" s="5" t="s">
        <v>68</v>
      </c>
      <c r="G31" s="23" t="str">
        <f t="shared" si="4"/>
        <v>33836.37</v>
      </c>
      <c r="H31" s="30">
        <f t="shared" si="5"/>
        <v>67</v>
      </c>
      <c r="I31" s="61" t="s">
        <v>81</v>
      </c>
      <c r="J31" s="62" t="s">
        <v>82</v>
      </c>
      <c r="K31" s="61">
        <v>67</v>
      </c>
      <c r="L31" s="61" t="s">
        <v>83</v>
      </c>
      <c r="M31" s="62" t="s">
        <v>84</v>
      </c>
      <c r="N31" s="62"/>
      <c r="O31" s="63" t="s">
        <v>76</v>
      </c>
      <c r="P31" s="63" t="s">
        <v>77</v>
      </c>
    </row>
    <row r="32" spans="1:16" ht="12.75" customHeight="1" thickBot="1" x14ac:dyDescent="0.25">
      <c r="A32" s="30" t="str">
        <f t="shared" si="0"/>
        <v> AC 164.15 </v>
      </c>
      <c r="B32" s="5" t="str">
        <f t="shared" si="1"/>
        <v>I</v>
      </c>
      <c r="C32" s="30">
        <f t="shared" si="2"/>
        <v>33927.31</v>
      </c>
      <c r="D32" s="23" t="str">
        <f t="shared" si="3"/>
        <v>vis</v>
      </c>
      <c r="E32" s="60">
        <f>VLOOKUP(C32,Active!C$21:E$972,3,FALSE)</f>
        <v>257.9651135233479</v>
      </c>
      <c r="F32" s="5" t="s">
        <v>68</v>
      </c>
      <c r="G32" s="23" t="str">
        <f t="shared" si="4"/>
        <v>33927.31</v>
      </c>
      <c r="H32" s="30">
        <f t="shared" si="5"/>
        <v>258</v>
      </c>
      <c r="I32" s="61" t="s">
        <v>85</v>
      </c>
      <c r="J32" s="62" t="s">
        <v>86</v>
      </c>
      <c r="K32" s="61">
        <v>258</v>
      </c>
      <c r="L32" s="61" t="s">
        <v>87</v>
      </c>
      <c r="M32" s="62" t="s">
        <v>75</v>
      </c>
      <c r="N32" s="62"/>
      <c r="O32" s="63" t="s">
        <v>76</v>
      </c>
      <c r="P32" s="63" t="s">
        <v>77</v>
      </c>
    </row>
    <row r="33" spans="1:16" ht="12.75" customHeight="1" thickBot="1" x14ac:dyDescent="0.25">
      <c r="A33" s="30" t="str">
        <f t="shared" si="0"/>
        <v> AC 164.15 </v>
      </c>
      <c r="B33" s="5" t="str">
        <f t="shared" si="1"/>
        <v>I</v>
      </c>
      <c r="C33" s="30">
        <f t="shared" si="2"/>
        <v>33946.36</v>
      </c>
      <c r="D33" s="23" t="str">
        <f t="shared" si="3"/>
        <v>vis</v>
      </c>
      <c r="E33" s="60">
        <f>VLOOKUP(C33,Active!C$21:E$972,3,FALSE)</f>
        <v>297.9702862083094</v>
      </c>
      <c r="F33" s="5" t="s">
        <v>68</v>
      </c>
      <c r="G33" s="23" t="str">
        <f t="shared" si="4"/>
        <v>33946.36</v>
      </c>
      <c r="H33" s="30">
        <f t="shared" si="5"/>
        <v>298</v>
      </c>
      <c r="I33" s="61" t="s">
        <v>88</v>
      </c>
      <c r="J33" s="62" t="s">
        <v>89</v>
      </c>
      <c r="K33" s="61">
        <v>298</v>
      </c>
      <c r="L33" s="61" t="s">
        <v>90</v>
      </c>
      <c r="M33" s="62" t="s">
        <v>75</v>
      </c>
      <c r="N33" s="62"/>
      <c r="O33" s="63" t="s">
        <v>76</v>
      </c>
      <c r="P33" s="63" t="s">
        <v>77</v>
      </c>
    </row>
    <row r="34" spans="1:16" ht="12.75" customHeight="1" thickBot="1" x14ac:dyDescent="0.25">
      <c r="A34" s="30" t="str">
        <f t="shared" si="0"/>
        <v> AC 164.15 </v>
      </c>
      <c r="B34" s="5" t="str">
        <f t="shared" si="1"/>
        <v>I</v>
      </c>
      <c r="C34" s="30">
        <f t="shared" si="2"/>
        <v>33948.33</v>
      </c>
      <c r="D34" s="23" t="str">
        <f t="shared" si="3"/>
        <v>vis</v>
      </c>
      <c r="E34" s="60">
        <f>VLOOKUP(C34,Active!C$21:E$972,3,FALSE)</f>
        <v>302.10730406602113</v>
      </c>
      <c r="F34" s="5" t="s">
        <v>68</v>
      </c>
      <c r="G34" s="23" t="str">
        <f t="shared" si="4"/>
        <v>33948.33</v>
      </c>
      <c r="H34" s="30">
        <f t="shared" si="5"/>
        <v>302</v>
      </c>
      <c r="I34" s="61" t="s">
        <v>91</v>
      </c>
      <c r="J34" s="62" t="s">
        <v>92</v>
      </c>
      <c r="K34" s="61">
        <v>302</v>
      </c>
      <c r="L34" s="61" t="s">
        <v>93</v>
      </c>
      <c r="M34" s="62" t="s">
        <v>75</v>
      </c>
      <c r="N34" s="62"/>
      <c r="O34" s="63" t="s">
        <v>76</v>
      </c>
      <c r="P34" s="63" t="s">
        <v>77</v>
      </c>
    </row>
    <row r="35" spans="1:16" ht="12.75" customHeight="1" thickBot="1" x14ac:dyDescent="0.25">
      <c r="A35" s="30" t="str">
        <f t="shared" si="0"/>
        <v> AC 164.15 </v>
      </c>
      <c r="B35" s="5" t="str">
        <f t="shared" si="1"/>
        <v>I</v>
      </c>
      <c r="C35" s="30">
        <f t="shared" si="2"/>
        <v>33978.28</v>
      </c>
      <c r="D35" s="23" t="str">
        <f t="shared" si="3"/>
        <v>vis</v>
      </c>
      <c r="E35" s="60">
        <f>VLOOKUP(C35,Active!C$21:E$972,3,FALSE)</f>
        <v>365.00257555758526</v>
      </c>
      <c r="F35" s="5" t="s">
        <v>68</v>
      </c>
      <c r="G35" s="23" t="str">
        <f t="shared" si="4"/>
        <v>33978.28</v>
      </c>
      <c r="H35" s="30">
        <f t="shared" si="5"/>
        <v>365</v>
      </c>
      <c r="I35" s="61" t="s">
        <v>94</v>
      </c>
      <c r="J35" s="62" t="s">
        <v>95</v>
      </c>
      <c r="K35" s="61">
        <v>365</v>
      </c>
      <c r="L35" s="61" t="s">
        <v>96</v>
      </c>
      <c r="M35" s="62" t="s">
        <v>75</v>
      </c>
      <c r="N35" s="62"/>
      <c r="O35" s="63" t="s">
        <v>76</v>
      </c>
      <c r="P35" s="63" t="s">
        <v>77</v>
      </c>
    </row>
    <row r="36" spans="1:16" ht="12.75" customHeight="1" thickBot="1" x14ac:dyDescent="0.25">
      <c r="A36" s="30" t="str">
        <f t="shared" si="0"/>
        <v> AC 164.15 </v>
      </c>
      <c r="B36" s="5" t="str">
        <f t="shared" si="1"/>
        <v>I</v>
      </c>
      <c r="C36" s="30">
        <f t="shared" si="2"/>
        <v>34196.370000000003</v>
      </c>
      <c r="D36" s="23" t="str">
        <f t="shared" si="3"/>
        <v>vis</v>
      </c>
      <c r="E36" s="60">
        <f>VLOOKUP(C36,Active!C$21:E$972,3,FALSE)</f>
        <v>822.99355250572535</v>
      </c>
      <c r="F36" s="5" t="s">
        <v>68</v>
      </c>
      <c r="G36" s="23" t="str">
        <f t="shared" si="4"/>
        <v>34196.37</v>
      </c>
      <c r="H36" s="30">
        <f t="shared" si="5"/>
        <v>823</v>
      </c>
      <c r="I36" s="61" t="s">
        <v>97</v>
      </c>
      <c r="J36" s="62" t="s">
        <v>98</v>
      </c>
      <c r="K36" s="61">
        <v>823</v>
      </c>
      <c r="L36" s="61" t="s">
        <v>83</v>
      </c>
      <c r="M36" s="62" t="s">
        <v>75</v>
      </c>
      <c r="N36" s="62"/>
      <c r="O36" s="63" t="s">
        <v>76</v>
      </c>
      <c r="P36" s="63" t="s">
        <v>77</v>
      </c>
    </row>
    <row r="37" spans="1:16" ht="12.75" customHeight="1" thickBot="1" x14ac:dyDescent="0.25">
      <c r="A37" s="30" t="str">
        <f t="shared" si="0"/>
        <v> AC 164.15 </v>
      </c>
      <c r="B37" s="5" t="str">
        <f t="shared" si="1"/>
        <v>I</v>
      </c>
      <c r="C37" s="30">
        <f t="shared" si="2"/>
        <v>34216.339999999997</v>
      </c>
      <c r="D37" s="23" t="str">
        <f t="shared" si="3"/>
        <v>vis</v>
      </c>
      <c r="E37" s="60">
        <f>VLOOKUP(C37,Active!C$21:E$972,3,FALSE)</f>
        <v>864.93073353030877</v>
      </c>
      <c r="F37" s="5" t="s">
        <v>68</v>
      </c>
      <c r="G37" s="23" t="str">
        <f t="shared" si="4"/>
        <v>34216.34</v>
      </c>
      <c r="H37" s="30">
        <f t="shared" si="5"/>
        <v>865</v>
      </c>
      <c r="I37" s="61" t="s">
        <v>99</v>
      </c>
      <c r="J37" s="62" t="s">
        <v>100</v>
      </c>
      <c r="K37" s="61">
        <v>865</v>
      </c>
      <c r="L37" s="61" t="s">
        <v>80</v>
      </c>
      <c r="M37" s="62" t="s">
        <v>75</v>
      </c>
      <c r="N37" s="62"/>
      <c r="O37" s="63" t="s">
        <v>76</v>
      </c>
      <c r="P37" s="63" t="s">
        <v>77</v>
      </c>
    </row>
    <row r="38" spans="1:16" ht="12.75" customHeight="1" thickBot="1" x14ac:dyDescent="0.25">
      <c r="A38" s="30" t="str">
        <f t="shared" si="0"/>
        <v> CLVO 39.26 </v>
      </c>
      <c r="B38" s="5" t="str">
        <f t="shared" si="1"/>
        <v>I</v>
      </c>
      <c r="C38" s="30">
        <f t="shared" si="2"/>
        <v>34276.358</v>
      </c>
      <c r="D38" s="23" t="str">
        <f t="shared" si="3"/>
        <v>vis</v>
      </c>
      <c r="E38" s="60">
        <f>VLOOKUP(C38,Active!C$21:E$972,3,FALSE)</f>
        <v>990.96907758310647</v>
      </c>
      <c r="F38" s="5" t="s">
        <v>68</v>
      </c>
      <c r="G38" s="23" t="str">
        <f t="shared" si="4"/>
        <v>34276.358</v>
      </c>
      <c r="H38" s="30">
        <f t="shared" si="5"/>
        <v>991</v>
      </c>
      <c r="I38" s="61" t="s">
        <v>101</v>
      </c>
      <c r="J38" s="62" t="s">
        <v>102</v>
      </c>
      <c r="K38" s="61">
        <v>991</v>
      </c>
      <c r="L38" s="61" t="s">
        <v>103</v>
      </c>
      <c r="M38" s="62" t="s">
        <v>75</v>
      </c>
      <c r="N38" s="62"/>
      <c r="O38" s="63" t="s">
        <v>104</v>
      </c>
      <c r="P38" s="63" t="s">
        <v>105</v>
      </c>
    </row>
    <row r="39" spans="1:16" ht="12.75" customHeight="1" thickBot="1" x14ac:dyDescent="0.25">
      <c r="A39" s="30" t="str">
        <f t="shared" si="0"/>
        <v> AC 164.15 </v>
      </c>
      <c r="B39" s="5" t="str">
        <f t="shared" si="1"/>
        <v>I</v>
      </c>
      <c r="C39" s="30">
        <f t="shared" si="2"/>
        <v>34277.339999999997</v>
      </c>
      <c r="D39" s="23" t="str">
        <f t="shared" si="3"/>
        <v>vis</v>
      </c>
      <c r="E39" s="60">
        <f>VLOOKUP(C39,Active!C$21:E$972,3,FALSE)</f>
        <v>993.03128648475899</v>
      </c>
      <c r="F39" s="5" t="s">
        <v>68</v>
      </c>
      <c r="G39" s="23" t="str">
        <f t="shared" si="4"/>
        <v>34277.34</v>
      </c>
      <c r="H39" s="30">
        <f t="shared" si="5"/>
        <v>993</v>
      </c>
      <c r="I39" s="61" t="s">
        <v>106</v>
      </c>
      <c r="J39" s="62" t="s">
        <v>107</v>
      </c>
      <c r="K39" s="61">
        <v>993</v>
      </c>
      <c r="L39" s="61" t="s">
        <v>108</v>
      </c>
      <c r="M39" s="62" t="s">
        <v>75</v>
      </c>
      <c r="N39" s="62"/>
      <c r="O39" s="63" t="s">
        <v>76</v>
      </c>
      <c r="P39" s="63" t="s">
        <v>77</v>
      </c>
    </row>
    <row r="40" spans="1:16" ht="12.75" customHeight="1" thickBot="1" x14ac:dyDescent="0.25">
      <c r="A40" s="30" t="str">
        <f t="shared" si="0"/>
        <v> CLVO 39.26 </v>
      </c>
      <c r="B40" s="5" t="str">
        <f t="shared" si="1"/>
        <v>I</v>
      </c>
      <c r="C40" s="30">
        <f t="shared" si="2"/>
        <v>34327.324000000001</v>
      </c>
      <c r="D40" s="23" t="str">
        <f t="shared" si="3"/>
        <v>vis</v>
      </c>
      <c r="E40" s="60">
        <f>VLOOKUP(C40,Active!C$21:E$972,3,FALSE)</f>
        <v>1097.9981395810828</v>
      </c>
      <c r="F40" s="5" t="s">
        <v>68</v>
      </c>
      <c r="G40" s="23" t="str">
        <f t="shared" si="4"/>
        <v>34327.324</v>
      </c>
      <c r="H40" s="30">
        <f t="shared" si="5"/>
        <v>1098</v>
      </c>
      <c r="I40" s="61" t="s">
        <v>109</v>
      </c>
      <c r="J40" s="62" t="s">
        <v>110</v>
      </c>
      <c r="K40" s="61">
        <v>1098</v>
      </c>
      <c r="L40" s="61" t="s">
        <v>111</v>
      </c>
      <c r="M40" s="62" t="s">
        <v>75</v>
      </c>
      <c r="N40" s="62"/>
      <c r="O40" s="63" t="s">
        <v>104</v>
      </c>
      <c r="P40" s="63" t="s">
        <v>105</v>
      </c>
    </row>
    <row r="41" spans="1:16" ht="12.75" customHeight="1" thickBot="1" x14ac:dyDescent="0.25">
      <c r="A41" s="30" t="str">
        <f t="shared" si="0"/>
        <v> AC 167.22 </v>
      </c>
      <c r="B41" s="5" t="str">
        <f t="shared" si="1"/>
        <v>I</v>
      </c>
      <c r="C41" s="30">
        <f t="shared" si="2"/>
        <v>34510.177000000003</v>
      </c>
      <c r="D41" s="23" t="str">
        <f t="shared" si="3"/>
        <v>vis</v>
      </c>
      <c r="E41" s="60">
        <f>VLOOKUP(C41,Active!C$21:E$972,3,FALSE)</f>
        <v>1481.99109711191</v>
      </c>
      <c r="F41" s="5" t="s">
        <v>68</v>
      </c>
      <c r="G41" s="23" t="str">
        <f t="shared" si="4"/>
        <v>34510.177</v>
      </c>
      <c r="H41" s="30">
        <f t="shared" si="5"/>
        <v>1482</v>
      </c>
      <c r="I41" s="61" t="s">
        <v>112</v>
      </c>
      <c r="J41" s="62" t="s">
        <v>113</v>
      </c>
      <c r="K41" s="61">
        <v>1482</v>
      </c>
      <c r="L41" s="61" t="s">
        <v>114</v>
      </c>
      <c r="M41" s="62" t="s">
        <v>71</v>
      </c>
      <c r="N41" s="62"/>
      <c r="O41" s="63" t="s">
        <v>115</v>
      </c>
      <c r="P41" s="63" t="s">
        <v>116</v>
      </c>
    </row>
    <row r="42" spans="1:16" ht="12.75" customHeight="1" thickBot="1" x14ac:dyDescent="0.25">
      <c r="A42" s="30" t="str">
        <f t="shared" si="0"/>
        <v> AC 164.15 </v>
      </c>
      <c r="B42" s="5" t="str">
        <f t="shared" si="1"/>
        <v>I</v>
      </c>
      <c r="C42" s="30">
        <f t="shared" si="2"/>
        <v>34513.49</v>
      </c>
      <c r="D42" s="23" t="str">
        <f t="shared" si="3"/>
        <v>vis</v>
      </c>
      <c r="E42" s="60">
        <f>VLOOKUP(C42,Active!C$21:E$972,3,FALSE)</f>
        <v>1488.9484271436706</v>
      </c>
      <c r="F42" s="5" t="s">
        <v>68</v>
      </c>
      <c r="G42" s="23" t="str">
        <f t="shared" si="4"/>
        <v>34513.49</v>
      </c>
      <c r="H42" s="30">
        <f t="shared" si="5"/>
        <v>1489</v>
      </c>
      <c r="I42" s="61" t="s">
        <v>117</v>
      </c>
      <c r="J42" s="62" t="s">
        <v>118</v>
      </c>
      <c r="K42" s="61">
        <v>1489</v>
      </c>
      <c r="L42" s="61" t="s">
        <v>87</v>
      </c>
      <c r="M42" s="62" t="s">
        <v>75</v>
      </c>
      <c r="N42" s="62"/>
      <c r="O42" s="63" t="s">
        <v>76</v>
      </c>
      <c r="P42" s="63" t="s">
        <v>77</v>
      </c>
    </row>
    <row r="43" spans="1:16" ht="12.75" customHeight="1" thickBot="1" x14ac:dyDescent="0.25">
      <c r="A43" s="30" t="str">
        <f t="shared" ref="A43:A78" si="6">P43</f>
        <v> AC 164.15 </v>
      </c>
      <c r="B43" s="5" t="str">
        <f t="shared" ref="B43:B78" si="7">IF(H43=INT(H43),"I","II")</f>
        <v>I</v>
      </c>
      <c r="C43" s="30">
        <f t="shared" ref="C43:C78" si="8">1*G43</f>
        <v>34627.339999999997</v>
      </c>
      <c r="D43" s="23" t="str">
        <f t="shared" ref="D43:D78" si="9">VLOOKUP(F43,I$1:J$5,2,FALSE)</f>
        <v>vis</v>
      </c>
      <c r="E43" s="60">
        <f>VLOOKUP(C43,Active!C$21:E$972,3,FALSE)</f>
        <v>1728.0344591742278</v>
      </c>
      <c r="F43" s="5" t="s">
        <v>68</v>
      </c>
      <c r="G43" s="23" t="str">
        <f t="shared" ref="G43:G78" si="10">MID(I43,3,LEN(I43)-3)</f>
        <v>34627.34</v>
      </c>
      <c r="H43" s="30">
        <f t="shared" ref="H43:H78" si="11">1*K43</f>
        <v>1728</v>
      </c>
      <c r="I43" s="61" t="s">
        <v>119</v>
      </c>
      <c r="J43" s="62" t="s">
        <v>120</v>
      </c>
      <c r="K43" s="61">
        <v>1728</v>
      </c>
      <c r="L43" s="61" t="s">
        <v>108</v>
      </c>
      <c r="M43" s="62" t="s">
        <v>75</v>
      </c>
      <c r="N43" s="62"/>
      <c r="O43" s="63" t="s">
        <v>76</v>
      </c>
      <c r="P43" s="63" t="s">
        <v>77</v>
      </c>
    </row>
    <row r="44" spans="1:16" ht="12.75" customHeight="1" thickBot="1" x14ac:dyDescent="0.25">
      <c r="A44" s="30" t="str">
        <f t="shared" si="6"/>
        <v> AC 164.15 </v>
      </c>
      <c r="B44" s="5" t="str">
        <f t="shared" si="7"/>
        <v>I</v>
      </c>
      <c r="C44" s="30">
        <f t="shared" si="8"/>
        <v>34634.44</v>
      </c>
      <c r="D44" s="23" t="str">
        <f t="shared" si="9"/>
        <v>vis</v>
      </c>
      <c r="E44" s="60">
        <f>VLOOKUP(C44,Active!C$21:E$972,3,FALSE)</f>
        <v>1742.944523534512</v>
      </c>
      <c r="F44" s="5" t="s">
        <v>68</v>
      </c>
      <c r="G44" s="23" t="str">
        <f t="shared" si="10"/>
        <v>34634.44</v>
      </c>
      <c r="H44" s="30">
        <f t="shared" si="11"/>
        <v>1743</v>
      </c>
      <c r="I44" s="61" t="s">
        <v>121</v>
      </c>
      <c r="J44" s="62" t="s">
        <v>122</v>
      </c>
      <c r="K44" s="61">
        <v>1743</v>
      </c>
      <c r="L44" s="61" t="s">
        <v>87</v>
      </c>
      <c r="M44" s="62" t="s">
        <v>75</v>
      </c>
      <c r="N44" s="62"/>
      <c r="O44" s="63" t="s">
        <v>76</v>
      </c>
      <c r="P44" s="63" t="s">
        <v>77</v>
      </c>
    </row>
    <row r="45" spans="1:16" ht="12.75" customHeight="1" thickBot="1" x14ac:dyDescent="0.25">
      <c r="A45" s="30" t="str">
        <f t="shared" si="6"/>
        <v> AC 164.15 </v>
      </c>
      <c r="B45" s="5" t="str">
        <f t="shared" si="7"/>
        <v>I</v>
      </c>
      <c r="C45" s="30">
        <f t="shared" si="8"/>
        <v>34635.46</v>
      </c>
      <c r="D45" s="23" t="str">
        <f t="shared" si="9"/>
        <v>vis</v>
      </c>
      <c r="E45" s="60">
        <f>VLOOKUP(C45,Active!C$21:E$972,3,FALSE)</f>
        <v>1745.0865327806289</v>
      </c>
      <c r="F45" s="5" t="s">
        <v>68</v>
      </c>
      <c r="G45" s="23" t="str">
        <f t="shared" si="10"/>
        <v>34635.46</v>
      </c>
      <c r="H45" s="30">
        <f t="shared" si="11"/>
        <v>1745</v>
      </c>
      <c r="I45" s="61" t="s">
        <v>123</v>
      </c>
      <c r="J45" s="62" t="s">
        <v>124</v>
      </c>
      <c r="K45" s="61">
        <v>1745</v>
      </c>
      <c r="L45" s="61" t="s">
        <v>125</v>
      </c>
      <c r="M45" s="62" t="s">
        <v>75</v>
      </c>
      <c r="N45" s="62"/>
      <c r="O45" s="63" t="s">
        <v>76</v>
      </c>
      <c r="P45" s="63" t="s">
        <v>77</v>
      </c>
    </row>
    <row r="46" spans="1:16" ht="12.75" customHeight="1" thickBot="1" x14ac:dyDescent="0.25">
      <c r="A46" s="30" t="str">
        <f t="shared" si="6"/>
        <v> CLVO 39.26 </v>
      </c>
      <c r="B46" s="5" t="str">
        <f t="shared" si="7"/>
        <v>I</v>
      </c>
      <c r="C46" s="30">
        <f t="shared" si="8"/>
        <v>34708.25</v>
      </c>
      <c r="D46" s="23" t="str">
        <f t="shared" si="9"/>
        <v>vis</v>
      </c>
      <c r="E46" s="60">
        <f>VLOOKUP(C46,Active!C$21:E$972,3,FALSE)</f>
        <v>1897.9461926093918</v>
      </c>
      <c r="F46" s="5" t="s">
        <v>68</v>
      </c>
      <c r="G46" s="23" t="str">
        <f t="shared" si="10"/>
        <v>34708.250</v>
      </c>
      <c r="H46" s="30">
        <f t="shared" si="11"/>
        <v>1898</v>
      </c>
      <c r="I46" s="61" t="s">
        <v>126</v>
      </c>
      <c r="J46" s="62" t="s">
        <v>127</v>
      </c>
      <c r="K46" s="61">
        <v>1898</v>
      </c>
      <c r="L46" s="61" t="s">
        <v>128</v>
      </c>
      <c r="M46" s="62" t="s">
        <v>75</v>
      </c>
      <c r="N46" s="62"/>
      <c r="O46" s="63" t="s">
        <v>104</v>
      </c>
      <c r="P46" s="63" t="s">
        <v>105</v>
      </c>
    </row>
    <row r="47" spans="1:16" ht="12.75" customHeight="1" thickBot="1" x14ac:dyDescent="0.25">
      <c r="A47" s="30" t="str">
        <f t="shared" si="6"/>
        <v> CLVO 39.26 </v>
      </c>
      <c r="B47" s="5" t="str">
        <f t="shared" si="7"/>
        <v>I</v>
      </c>
      <c r="C47" s="30">
        <f t="shared" si="8"/>
        <v>34866.374000000003</v>
      </c>
      <c r="D47" s="23" t="str">
        <f t="shared" si="9"/>
        <v>vis</v>
      </c>
      <c r="E47" s="60">
        <f>VLOOKUP(C47,Active!C$21:E$972,3,FALSE)</f>
        <v>2230.0080259761121</v>
      </c>
      <c r="F47" s="5" t="s">
        <v>68</v>
      </c>
      <c r="G47" s="23" t="str">
        <f t="shared" si="10"/>
        <v>34866.374</v>
      </c>
      <c r="H47" s="30">
        <f t="shared" si="11"/>
        <v>2230</v>
      </c>
      <c r="I47" s="61" t="s">
        <v>129</v>
      </c>
      <c r="J47" s="62" t="s">
        <v>130</v>
      </c>
      <c r="K47" s="61">
        <v>2230</v>
      </c>
      <c r="L47" s="61" t="s">
        <v>131</v>
      </c>
      <c r="M47" s="62" t="s">
        <v>75</v>
      </c>
      <c r="N47" s="62"/>
      <c r="O47" s="63" t="s">
        <v>104</v>
      </c>
      <c r="P47" s="63" t="s">
        <v>105</v>
      </c>
    </row>
    <row r="48" spans="1:16" ht="12.75" customHeight="1" thickBot="1" x14ac:dyDescent="0.25">
      <c r="A48" s="30" t="str">
        <f t="shared" si="6"/>
        <v> AC 164.15 </v>
      </c>
      <c r="B48" s="5" t="str">
        <f t="shared" si="7"/>
        <v>I</v>
      </c>
      <c r="C48" s="30">
        <f t="shared" si="8"/>
        <v>34954.46</v>
      </c>
      <c r="D48" s="23" t="str">
        <f t="shared" si="9"/>
        <v>vis</v>
      </c>
      <c r="E48" s="60">
        <f>VLOOKUP(C48,Active!C$21:E$972,3,FALSE)</f>
        <v>2414.9894244604588</v>
      </c>
      <c r="F48" s="5" t="s">
        <v>68</v>
      </c>
      <c r="G48" s="23" t="str">
        <f t="shared" si="10"/>
        <v>34954.46</v>
      </c>
      <c r="H48" s="30">
        <f t="shared" si="11"/>
        <v>2415</v>
      </c>
      <c r="I48" s="61" t="s">
        <v>132</v>
      </c>
      <c r="J48" s="62" t="s">
        <v>133</v>
      </c>
      <c r="K48" s="61">
        <v>2415</v>
      </c>
      <c r="L48" s="61" t="s">
        <v>83</v>
      </c>
      <c r="M48" s="62" t="s">
        <v>75</v>
      </c>
      <c r="N48" s="62"/>
      <c r="O48" s="63" t="s">
        <v>76</v>
      </c>
      <c r="P48" s="63" t="s">
        <v>77</v>
      </c>
    </row>
    <row r="49" spans="1:16" ht="12.75" customHeight="1" thickBot="1" x14ac:dyDescent="0.25">
      <c r="A49" s="30" t="str">
        <f t="shared" si="6"/>
        <v> AC 164.15 </v>
      </c>
      <c r="B49" s="5" t="str">
        <f t="shared" si="7"/>
        <v>I</v>
      </c>
      <c r="C49" s="30">
        <f t="shared" si="8"/>
        <v>35363.51</v>
      </c>
      <c r="D49" s="23" t="str">
        <f t="shared" si="9"/>
        <v>vis</v>
      </c>
      <c r="E49" s="60">
        <f>VLOOKUP(C49,Active!C$21:E$972,3,FALSE)</f>
        <v>3273.9981324279711</v>
      </c>
      <c r="F49" s="5" t="s">
        <v>68</v>
      </c>
      <c r="G49" s="23" t="str">
        <f t="shared" si="10"/>
        <v>35363.51</v>
      </c>
      <c r="H49" s="30">
        <f t="shared" si="11"/>
        <v>3274</v>
      </c>
      <c r="I49" s="61" t="s">
        <v>134</v>
      </c>
      <c r="J49" s="62" t="s">
        <v>135</v>
      </c>
      <c r="K49" s="61">
        <v>3274</v>
      </c>
      <c r="L49" s="61" t="s">
        <v>96</v>
      </c>
      <c r="M49" s="62" t="s">
        <v>84</v>
      </c>
      <c r="N49" s="62"/>
      <c r="O49" s="63" t="s">
        <v>76</v>
      </c>
      <c r="P49" s="63" t="s">
        <v>77</v>
      </c>
    </row>
    <row r="50" spans="1:16" ht="12.75" customHeight="1" thickBot="1" x14ac:dyDescent="0.25">
      <c r="A50" s="30" t="str">
        <f t="shared" si="6"/>
        <v> AC 164.15 </v>
      </c>
      <c r="B50" s="5" t="str">
        <f t="shared" si="7"/>
        <v>I</v>
      </c>
      <c r="C50" s="30">
        <f t="shared" si="8"/>
        <v>35364.449999999997</v>
      </c>
      <c r="D50" s="23" t="str">
        <f t="shared" si="9"/>
        <v>vis</v>
      </c>
      <c r="E50" s="60">
        <f>VLOOKUP(C50,Active!C$21:E$972,3,FALSE)</f>
        <v>3275.9721409488984</v>
      </c>
      <c r="F50" s="5" t="s">
        <v>68</v>
      </c>
      <c r="G50" s="23" t="str">
        <f t="shared" si="10"/>
        <v>35364.45</v>
      </c>
      <c r="H50" s="30">
        <f t="shared" si="11"/>
        <v>3276</v>
      </c>
      <c r="I50" s="61" t="s">
        <v>136</v>
      </c>
      <c r="J50" s="62" t="s">
        <v>137</v>
      </c>
      <c r="K50" s="61">
        <v>3276</v>
      </c>
      <c r="L50" s="61" t="s">
        <v>90</v>
      </c>
      <c r="M50" s="62" t="s">
        <v>84</v>
      </c>
      <c r="N50" s="62"/>
      <c r="O50" s="63" t="s">
        <v>76</v>
      </c>
      <c r="P50" s="63" t="s">
        <v>77</v>
      </c>
    </row>
    <row r="51" spans="1:16" ht="12.75" customHeight="1" thickBot="1" x14ac:dyDescent="0.25">
      <c r="A51" s="30" t="str">
        <f t="shared" si="6"/>
        <v> CLVO 39.26 </v>
      </c>
      <c r="B51" s="5" t="str">
        <f t="shared" si="7"/>
        <v>I</v>
      </c>
      <c r="C51" s="30">
        <f t="shared" si="8"/>
        <v>35624.43</v>
      </c>
      <c r="D51" s="23" t="str">
        <f t="shared" si="9"/>
        <v>vis</v>
      </c>
      <c r="E51" s="60">
        <f>VLOOKUP(C51,Active!C$21:E$972,3,FALSE)</f>
        <v>3821.9324976226421</v>
      </c>
      <c r="F51" s="5" t="s">
        <v>68</v>
      </c>
      <c r="G51" s="23" t="str">
        <f t="shared" si="10"/>
        <v>35624.430</v>
      </c>
      <c r="H51" s="30">
        <f t="shared" si="11"/>
        <v>3822</v>
      </c>
      <c r="I51" s="61" t="s">
        <v>138</v>
      </c>
      <c r="J51" s="62" t="s">
        <v>139</v>
      </c>
      <c r="K51" s="61">
        <v>3822</v>
      </c>
      <c r="L51" s="61" t="s">
        <v>140</v>
      </c>
      <c r="M51" s="62" t="s">
        <v>75</v>
      </c>
      <c r="N51" s="62"/>
      <c r="O51" s="63" t="s">
        <v>104</v>
      </c>
      <c r="P51" s="63" t="s">
        <v>105</v>
      </c>
    </row>
    <row r="52" spans="1:16" ht="12.75" customHeight="1" thickBot="1" x14ac:dyDescent="0.25">
      <c r="A52" s="30" t="str">
        <f t="shared" si="6"/>
        <v> CLVO 39.26 </v>
      </c>
      <c r="B52" s="5" t="str">
        <f t="shared" si="7"/>
        <v>I</v>
      </c>
      <c r="C52" s="30">
        <f t="shared" si="8"/>
        <v>35924.463000000003</v>
      </c>
      <c r="D52" s="23" t="str">
        <f t="shared" si="9"/>
        <v>vis</v>
      </c>
      <c r="E52" s="60">
        <f>VLOOKUP(C52,Active!C$21:E$972,3,FALSE)</f>
        <v>4452.0045173699045</v>
      </c>
      <c r="F52" s="5" t="s">
        <v>68</v>
      </c>
      <c r="G52" s="23" t="str">
        <f t="shared" si="10"/>
        <v>35924.463</v>
      </c>
      <c r="H52" s="30">
        <f t="shared" si="11"/>
        <v>4452</v>
      </c>
      <c r="I52" s="61" t="s">
        <v>141</v>
      </c>
      <c r="J52" s="62" t="s">
        <v>142</v>
      </c>
      <c r="K52" s="61">
        <v>4452</v>
      </c>
      <c r="L52" s="61" t="s">
        <v>143</v>
      </c>
      <c r="M52" s="62" t="s">
        <v>75</v>
      </c>
      <c r="N52" s="62"/>
      <c r="O52" s="63" t="s">
        <v>104</v>
      </c>
      <c r="P52" s="63" t="s">
        <v>105</v>
      </c>
    </row>
    <row r="53" spans="1:16" ht="12.75" customHeight="1" thickBot="1" x14ac:dyDescent="0.25">
      <c r="A53" s="30" t="str">
        <f t="shared" si="6"/>
        <v> CLVO 39.26 </v>
      </c>
      <c r="B53" s="5" t="str">
        <f t="shared" si="7"/>
        <v>I</v>
      </c>
      <c r="C53" s="30">
        <f t="shared" si="8"/>
        <v>35955.404000000002</v>
      </c>
      <c r="D53" s="23" t="str">
        <f t="shared" si="9"/>
        <v>vis</v>
      </c>
      <c r="E53" s="60">
        <f>VLOOKUP(C53,Active!C$21:E$972,3,FALSE)</f>
        <v>4516.9808978447154</v>
      </c>
      <c r="F53" s="5" t="s">
        <v>68</v>
      </c>
      <c r="G53" s="23" t="str">
        <f t="shared" si="10"/>
        <v>35955.404</v>
      </c>
      <c r="H53" s="30">
        <f t="shared" si="11"/>
        <v>4517</v>
      </c>
      <c r="I53" s="61" t="s">
        <v>144</v>
      </c>
      <c r="J53" s="62" t="s">
        <v>145</v>
      </c>
      <c r="K53" s="61">
        <v>4517</v>
      </c>
      <c r="L53" s="61" t="s">
        <v>70</v>
      </c>
      <c r="M53" s="62" t="s">
        <v>75</v>
      </c>
      <c r="N53" s="62"/>
      <c r="O53" s="63" t="s">
        <v>104</v>
      </c>
      <c r="P53" s="63" t="s">
        <v>105</v>
      </c>
    </row>
    <row r="54" spans="1:16" ht="12.75" customHeight="1" thickBot="1" x14ac:dyDescent="0.25">
      <c r="A54" s="30" t="str">
        <f t="shared" si="6"/>
        <v> HABZ 30 </v>
      </c>
      <c r="B54" s="5" t="str">
        <f t="shared" si="7"/>
        <v>I</v>
      </c>
      <c r="C54" s="30">
        <f t="shared" si="8"/>
        <v>36867.300000000003</v>
      </c>
      <c r="D54" s="23" t="str">
        <f t="shared" si="9"/>
        <v>vis</v>
      </c>
      <c r="E54" s="60">
        <f>VLOOKUP(C54,Active!C$21:E$972,3,FALSE)</f>
        <v>6431.9707640242477</v>
      </c>
      <c r="F54" s="5" t="s">
        <v>68</v>
      </c>
      <c r="G54" s="23" t="str">
        <f t="shared" si="10"/>
        <v>36867.300</v>
      </c>
      <c r="H54" s="30">
        <f t="shared" si="11"/>
        <v>6432</v>
      </c>
      <c r="I54" s="61" t="s">
        <v>146</v>
      </c>
      <c r="J54" s="62" t="s">
        <v>147</v>
      </c>
      <c r="K54" s="61">
        <v>6432</v>
      </c>
      <c r="L54" s="61" t="s">
        <v>148</v>
      </c>
      <c r="M54" s="62" t="s">
        <v>75</v>
      </c>
      <c r="N54" s="62"/>
      <c r="O54" s="63" t="s">
        <v>149</v>
      </c>
      <c r="P54" s="63" t="s">
        <v>150</v>
      </c>
    </row>
    <row r="55" spans="1:16" ht="12.75" customHeight="1" thickBot="1" x14ac:dyDescent="0.25">
      <c r="A55" s="30" t="str">
        <f t="shared" si="6"/>
        <v> HABZ 30 </v>
      </c>
      <c r="B55" s="5" t="str">
        <f t="shared" si="7"/>
        <v>I</v>
      </c>
      <c r="C55" s="30">
        <f t="shared" si="8"/>
        <v>37575.396999999997</v>
      </c>
      <c r="D55" s="23" t="str">
        <f t="shared" si="9"/>
        <v>vis</v>
      </c>
      <c r="E55" s="60">
        <f>VLOOKUP(C55,Active!C$21:E$972,3,FALSE)</f>
        <v>7918.9808828010782</v>
      </c>
      <c r="F55" s="5" t="s">
        <v>68</v>
      </c>
      <c r="G55" s="23" t="str">
        <f t="shared" si="10"/>
        <v>37575.397</v>
      </c>
      <c r="H55" s="30">
        <f t="shared" si="11"/>
        <v>7919</v>
      </c>
      <c r="I55" s="61" t="s">
        <v>151</v>
      </c>
      <c r="J55" s="62" t="s">
        <v>152</v>
      </c>
      <c r="K55" s="61">
        <v>7919</v>
      </c>
      <c r="L55" s="61" t="s">
        <v>153</v>
      </c>
      <c r="M55" s="62" t="s">
        <v>75</v>
      </c>
      <c r="N55" s="62"/>
      <c r="O55" s="63" t="s">
        <v>149</v>
      </c>
      <c r="P55" s="63" t="s">
        <v>150</v>
      </c>
    </row>
    <row r="56" spans="1:16" ht="12.75" customHeight="1" thickBot="1" x14ac:dyDescent="0.25">
      <c r="A56" s="30" t="str">
        <f t="shared" si="6"/>
        <v> HABZ 30 </v>
      </c>
      <c r="B56" s="5" t="str">
        <f t="shared" si="7"/>
        <v>I</v>
      </c>
      <c r="C56" s="30">
        <f t="shared" si="8"/>
        <v>37586.362000000001</v>
      </c>
      <c r="D56" s="23" t="str">
        <f t="shared" si="9"/>
        <v>vis</v>
      </c>
      <c r="E56" s="60">
        <f>VLOOKUP(C56,Active!C$21:E$972,3,FALSE)</f>
        <v>7942.0074821969147</v>
      </c>
      <c r="F56" s="5" t="s">
        <v>68</v>
      </c>
      <c r="G56" s="23" t="str">
        <f t="shared" si="10"/>
        <v>37586.362</v>
      </c>
      <c r="H56" s="30">
        <f t="shared" si="11"/>
        <v>7942</v>
      </c>
      <c r="I56" s="61" t="s">
        <v>154</v>
      </c>
      <c r="J56" s="62" t="s">
        <v>155</v>
      </c>
      <c r="K56" s="61">
        <v>7942</v>
      </c>
      <c r="L56" s="61" t="s">
        <v>156</v>
      </c>
      <c r="M56" s="62" t="s">
        <v>75</v>
      </c>
      <c r="N56" s="62"/>
      <c r="O56" s="63" t="s">
        <v>149</v>
      </c>
      <c r="P56" s="63" t="s">
        <v>150</v>
      </c>
    </row>
    <row r="57" spans="1:16" ht="12.75" customHeight="1" thickBot="1" x14ac:dyDescent="0.25">
      <c r="A57" s="30" t="str">
        <f t="shared" si="6"/>
        <v> HABZ 30 </v>
      </c>
      <c r="B57" s="5" t="str">
        <f t="shared" si="7"/>
        <v>I</v>
      </c>
      <c r="C57" s="30">
        <f t="shared" si="8"/>
        <v>37885.409</v>
      </c>
      <c r="D57" s="23" t="str">
        <f t="shared" si="9"/>
        <v>vis</v>
      </c>
      <c r="E57" s="60">
        <f>VLOOKUP(C57,Active!C$21:E$972,3,FALSE)</f>
        <v>8570.0088930062466</v>
      </c>
      <c r="F57" s="5" t="s">
        <v>68</v>
      </c>
      <c r="G57" s="23" t="str">
        <f t="shared" si="10"/>
        <v>37885.409</v>
      </c>
      <c r="H57" s="30">
        <f t="shared" si="11"/>
        <v>8570</v>
      </c>
      <c r="I57" s="61" t="s">
        <v>157</v>
      </c>
      <c r="J57" s="62" t="s">
        <v>158</v>
      </c>
      <c r="K57" s="61">
        <v>8570</v>
      </c>
      <c r="L57" s="61" t="s">
        <v>159</v>
      </c>
      <c r="M57" s="62" t="s">
        <v>75</v>
      </c>
      <c r="N57" s="62"/>
      <c r="O57" s="63" t="s">
        <v>149</v>
      </c>
      <c r="P57" s="63" t="s">
        <v>150</v>
      </c>
    </row>
    <row r="58" spans="1:16" ht="12.75" customHeight="1" thickBot="1" x14ac:dyDescent="0.25">
      <c r="A58" s="30" t="str">
        <f t="shared" si="6"/>
        <v> HABZ 30 </v>
      </c>
      <c r="B58" s="5" t="str">
        <f t="shared" si="7"/>
        <v>I</v>
      </c>
      <c r="C58" s="30">
        <f t="shared" si="8"/>
        <v>38232.531000000003</v>
      </c>
      <c r="D58" s="23" t="str">
        <f t="shared" si="9"/>
        <v>vis</v>
      </c>
      <c r="E58" s="60">
        <f>VLOOKUP(C58,Active!C$21:E$972,3,FALSE)</f>
        <v>9298.9682396071494</v>
      </c>
      <c r="F58" s="5" t="s">
        <v>68</v>
      </c>
      <c r="G58" s="23" t="str">
        <f t="shared" si="10"/>
        <v>38232.531</v>
      </c>
      <c r="H58" s="30">
        <f t="shared" si="11"/>
        <v>9299</v>
      </c>
      <c r="I58" s="61" t="s">
        <v>160</v>
      </c>
      <c r="J58" s="62" t="s">
        <v>161</v>
      </c>
      <c r="K58" s="61">
        <v>9299</v>
      </c>
      <c r="L58" s="61" t="s">
        <v>114</v>
      </c>
      <c r="M58" s="62" t="s">
        <v>75</v>
      </c>
      <c r="N58" s="62"/>
      <c r="O58" s="63" t="s">
        <v>149</v>
      </c>
      <c r="P58" s="63" t="s">
        <v>150</v>
      </c>
    </row>
    <row r="59" spans="1:16" ht="12.75" customHeight="1" thickBot="1" x14ac:dyDescent="0.25">
      <c r="A59" s="30" t="str">
        <f t="shared" si="6"/>
        <v> HABZ 30 </v>
      </c>
      <c r="B59" s="5" t="str">
        <f t="shared" si="7"/>
        <v>I</v>
      </c>
      <c r="C59" s="30">
        <f t="shared" si="8"/>
        <v>38233.485999999997</v>
      </c>
      <c r="D59" s="23" t="str">
        <f t="shared" si="9"/>
        <v>vis</v>
      </c>
      <c r="E59" s="60">
        <f>VLOOKUP(C59,Active!C$21:E$972,3,FALSE)</f>
        <v>9300.9737482640485</v>
      </c>
      <c r="F59" s="5" t="s">
        <v>68</v>
      </c>
      <c r="G59" s="23" t="str">
        <f t="shared" si="10"/>
        <v>38233.486</v>
      </c>
      <c r="H59" s="30">
        <f t="shared" si="11"/>
        <v>9301</v>
      </c>
      <c r="I59" s="61" t="s">
        <v>162</v>
      </c>
      <c r="J59" s="62" t="s">
        <v>163</v>
      </c>
      <c r="K59" s="61">
        <v>9301</v>
      </c>
      <c r="L59" s="61" t="s">
        <v>111</v>
      </c>
      <c r="M59" s="62" t="s">
        <v>75</v>
      </c>
      <c r="N59" s="62"/>
      <c r="O59" s="63" t="s">
        <v>149</v>
      </c>
      <c r="P59" s="63" t="s">
        <v>150</v>
      </c>
    </row>
    <row r="60" spans="1:16" ht="12.75" customHeight="1" thickBot="1" x14ac:dyDescent="0.25">
      <c r="A60" s="30" t="str">
        <f t="shared" si="6"/>
        <v>BAVM 56 </v>
      </c>
      <c r="B60" s="5" t="str">
        <f t="shared" si="7"/>
        <v>I</v>
      </c>
      <c r="C60" s="30">
        <f t="shared" si="8"/>
        <v>47671.555</v>
      </c>
      <c r="D60" s="23" t="str">
        <f t="shared" si="9"/>
        <v>vis</v>
      </c>
      <c r="E60" s="60">
        <f>VLOOKUP(C60,Active!C$21:E$972,3,FALSE)</f>
        <v>29121.004202727258</v>
      </c>
      <c r="F60" s="5" t="s">
        <v>68</v>
      </c>
      <c r="G60" s="23" t="str">
        <f t="shared" si="10"/>
        <v>47671.555</v>
      </c>
      <c r="H60" s="30">
        <f t="shared" si="11"/>
        <v>29121</v>
      </c>
      <c r="I60" s="61" t="s">
        <v>164</v>
      </c>
      <c r="J60" s="62" t="s">
        <v>165</v>
      </c>
      <c r="K60" s="61">
        <v>29121</v>
      </c>
      <c r="L60" s="61" t="s">
        <v>166</v>
      </c>
      <c r="M60" s="62" t="s">
        <v>71</v>
      </c>
      <c r="N60" s="62"/>
      <c r="O60" s="63" t="s">
        <v>167</v>
      </c>
      <c r="P60" s="64" t="s">
        <v>168</v>
      </c>
    </row>
    <row r="61" spans="1:16" ht="12.75" customHeight="1" thickBot="1" x14ac:dyDescent="0.25">
      <c r="A61" s="30" t="str">
        <f t="shared" si="6"/>
        <v>BAVM 56 </v>
      </c>
      <c r="B61" s="5" t="str">
        <f t="shared" si="7"/>
        <v>I</v>
      </c>
      <c r="C61" s="30">
        <f t="shared" si="8"/>
        <v>47713.453999999998</v>
      </c>
      <c r="D61" s="23" t="str">
        <f t="shared" si="9"/>
        <v>vis</v>
      </c>
      <c r="E61" s="60">
        <f>VLOOKUP(C61,Active!C$21:E$972,3,FALSE)</f>
        <v>29208.992482534442</v>
      </c>
      <c r="F61" s="5" t="s">
        <v>68</v>
      </c>
      <c r="G61" s="23" t="str">
        <f t="shared" si="10"/>
        <v>47713.454</v>
      </c>
      <c r="H61" s="30">
        <f t="shared" si="11"/>
        <v>29209</v>
      </c>
      <c r="I61" s="61" t="s">
        <v>169</v>
      </c>
      <c r="J61" s="62" t="s">
        <v>170</v>
      </c>
      <c r="K61" s="61">
        <v>29209</v>
      </c>
      <c r="L61" s="61" t="s">
        <v>171</v>
      </c>
      <c r="M61" s="62" t="s">
        <v>71</v>
      </c>
      <c r="N61" s="62"/>
      <c r="O61" s="63" t="s">
        <v>167</v>
      </c>
      <c r="P61" s="64" t="s">
        <v>168</v>
      </c>
    </row>
    <row r="62" spans="1:16" ht="12.75" customHeight="1" thickBot="1" x14ac:dyDescent="0.25">
      <c r="A62" s="30" t="str">
        <f t="shared" si="6"/>
        <v>BAVM 56 </v>
      </c>
      <c r="B62" s="5" t="str">
        <f t="shared" si="7"/>
        <v>I</v>
      </c>
      <c r="C62" s="30">
        <f t="shared" si="8"/>
        <v>47744.408000000003</v>
      </c>
      <c r="D62" s="23" t="str">
        <f t="shared" si="9"/>
        <v>vis</v>
      </c>
      <c r="E62" s="60">
        <f>VLOOKUP(C62,Active!C$21:E$972,3,FALSE)</f>
        <v>29273.996163127111</v>
      </c>
      <c r="F62" s="5" t="s">
        <v>68</v>
      </c>
      <c r="G62" s="23" t="str">
        <f t="shared" si="10"/>
        <v>47744.408</v>
      </c>
      <c r="H62" s="30">
        <f t="shared" si="11"/>
        <v>29274</v>
      </c>
      <c r="I62" s="61" t="s">
        <v>172</v>
      </c>
      <c r="J62" s="62" t="s">
        <v>173</v>
      </c>
      <c r="K62" s="61">
        <v>29274</v>
      </c>
      <c r="L62" s="61" t="s">
        <v>174</v>
      </c>
      <c r="M62" s="62" t="s">
        <v>71</v>
      </c>
      <c r="N62" s="62"/>
      <c r="O62" s="63" t="s">
        <v>167</v>
      </c>
      <c r="P62" s="64" t="s">
        <v>168</v>
      </c>
    </row>
    <row r="63" spans="1:16" ht="12.75" customHeight="1" thickBot="1" x14ac:dyDescent="0.25">
      <c r="A63" s="30" t="str">
        <f t="shared" si="6"/>
        <v>BAVM 56 </v>
      </c>
      <c r="B63" s="5" t="str">
        <f t="shared" si="7"/>
        <v>I</v>
      </c>
      <c r="C63" s="30">
        <f t="shared" si="8"/>
        <v>47753.453000000001</v>
      </c>
      <c r="D63" s="23" t="str">
        <f t="shared" si="9"/>
        <v>vis</v>
      </c>
      <c r="E63" s="60">
        <f>VLOOKUP(C63,Active!C$21:E$972,3,FALSE)</f>
        <v>29292.990745118466</v>
      </c>
      <c r="F63" s="5" t="s">
        <v>68</v>
      </c>
      <c r="G63" s="23" t="str">
        <f t="shared" si="10"/>
        <v>47753.453</v>
      </c>
      <c r="H63" s="30">
        <f t="shared" si="11"/>
        <v>29293</v>
      </c>
      <c r="I63" s="61" t="s">
        <v>175</v>
      </c>
      <c r="J63" s="62" t="s">
        <v>176</v>
      </c>
      <c r="K63" s="61">
        <v>29293</v>
      </c>
      <c r="L63" s="61" t="s">
        <v>177</v>
      </c>
      <c r="M63" s="62" t="s">
        <v>71</v>
      </c>
      <c r="N63" s="62"/>
      <c r="O63" s="63" t="s">
        <v>167</v>
      </c>
      <c r="P63" s="64" t="s">
        <v>168</v>
      </c>
    </row>
    <row r="64" spans="1:16" ht="12.75" customHeight="1" thickBot="1" x14ac:dyDescent="0.25">
      <c r="A64" s="30" t="str">
        <f t="shared" si="6"/>
        <v>BAVM 56 </v>
      </c>
      <c r="B64" s="5" t="str">
        <f t="shared" si="7"/>
        <v>I</v>
      </c>
      <c r="C64" s="30">
        <f t="shared" si="8"/>
        <v>47754.404000000002</v>
      </c>
      <c r="D64" s="23" t="str">
        <f t="shared" si="9"/>
        <v>vis</v>
      </c>
      <c r="E64" s="60">
        <f>VLOOKUP(C64,Active!C$21:E$972,3,FALSE)</f>
        <v>29294.98785373912</v>
      </c>
      <c r="F64" s="5" t="s">
        <v>68</v>
      </c>
      <c r="G64" s="23" t="str">
        <f t="shared" si="10"/>
        <v>47754.404</v>
      </c>
      <c r="H64" s="30">
        <f t="shared" si="11"/>
        <v>29295</v>
      </c>
      <c r="I64" s="61" t="s">
        <v>178</v>
      </c>
      <c r="J64" s="62" t="s">
        <v>179</v>
      </c>
      <c r="K64" s="61">
        <v>29295</v>
      </c>
      <c r="L64" s="61" t="s">
        <v>180</v>
      </c>
      <c r="M64" s="62" t="s">
        <v>71</v>
      </c>
      <c r="N64" s="62"/>
      <c r="O64" s="63" t="s">
        <v>167</v>
      </c>
      <c r="P64" s="64" t="s">
        <v>168</v>
      </c>
    </row>
    <row r="65" spans="1:16" ht="12.75" customHeight="1" thickBot="1" x14ac:dyDescent="0.25">
      <c r="A65" s="30" t="str">
        <f t="shared" si="6"/>
        <v>BAVM 56 </v>
      </c>
      <c r="B65" s="5" t="str">
        <f t="shared" si="7"/>
        <v>I</v>
      </c>
      <c r="C65" s="30">
        <f t="shared" si="8"/>
        <v>47775.360000000001</v>
      </c>
      <c r="D65" s="23" t="str">
        <f t="shared" si="9"/>
        <v>vis</v>
      </c>
      <c r="E65" s="60">
        <f>VLOOKUP(C65,Active!C$21:E$972,3,FALSE)</f>
        <v>29338.99564370163</v>
      </c>
      <c r="F65" s="5" t="s">
        <v>68</v>
      </c>
      <c r="G65" s="23" t="str">
        <f t="shared" si="10"/>
        <v>47775.360</v>
      </c>
      <c r="H65" s="30">
        <f t="shared" si="11"/>
        <v>29339</v>
      </c>
      <c r="I65" s="61" t="s">
        <v>181</v>
      </c>
      <c r="J65" s="62" t="s">
        <v>182</v>
      </c>
      <c r="K65" s="61">
        <v>29339</v>
      </c>
      <c r="L65" s="61" t="s">
        <v>174</v>
      </c>
      <c r="M65" s="62" t="s">
        <v>71</v>
      </c>
      <c r="N65" s="62"/>
      <c r="O65" s="63" t="s">
        <v>167</v>
      </c>
      <c r="P65" s="64" t="s">
        <v>168</v>
      </c>
    </row>
    <row r="66" spans="1:16" ht="12.75" customHeight="1" thickBot="1" x14ac:dyDescent="0.25">
      <c r="A66" s="30" t="str">
        <f t="shared" si="6"/>
        <v>BAVM 56 </v>
      </c>
      <c r="B66" s="5" t="str">
        <f t="shared" si="7"/>
        <v>I</v>
      </c>
      <c r="C66" s="30">
        <f t="shared" si="8"/>
        <v>47991.552000000003</v>
      </c>
      <c r="D66" s="23" t="str">
        <f t="shared" si="9"/>
        <v>vis</v>
      </c>
      <c r="E66" s="60">
        <f>VLOOKUP(C66,Active!C$21:E$972,3,FALSE)</f>
        <v>29793.000803444727</v>
      </c>
      <c r="F66" s="5" t="s">
        <v>68</v>
      </c>
      <c r="G66" s="23" t="str">
        <f t="shared" si="10"/>
        <v>47991.552</v>
      </c>
      <c r="H66" s="30">
        <f t="shared" si="11"/>
        <v>29793</v>
      </c>
      <c r="I66" s="61" t="s">
        <v>183</v>
      </c>
      <c r="J66" s="62" t="s">
        <v>184</v>
      </c>
      <c r="K66" s="61">
        <v>29793</v>
      </c>
      <c r="L66" s="61" t="s">
        <v>166</v>
      </c>
      <c r="M66" s="62" t="s">
        <v>71</v>
      </c>
      <c r="N66" s="62"/>
      <c r="O66" s="63" t="s">
        <v>167</v>
      </c>
      <c r="P66" s="64" t="s">
        <v>168</v>
      </c>
    </row>
    <row r="67" spans="1:16" ht="12.75" customHeight="1" thickBot="1" x14ac:dyDescent="0.25">
      <c r="A67" s="30" t="str">
        <f t="shared" si="6"/>
        <v>BAVM 79 </v>
      </c>
      <c r="B67" s="5" t="str">
        <f t="shared" si="7"/>
        <v>I</v>
      </c>
      <c r="C67" s="30">
        <f t="shared" si="8"/>
        <v>48472.499000000003</v>
      </c>
      <c r="D67" s="23" t="str">
        <f t="shared" si="9"/>
        <v>vis</v>
      </c>
      <c r="E67" s="60">
        <f>VLOOKUP(C67,Active!C$21:E$972,3,FALSE)</f>
        <v>30802.993863146105</v>
      </c>
      <c r="F67" s="5" t="s">
        <v>68</v>
      </c>
      <c r="G67" s="23" t="str">
        <f t="shared" si="10"/>
        <v>48472.499</v>
      </c>
      <c r="H67" s="30">
        <f t="shared" si="11"/>
        <v>30803</v>
      </c>
      <c r="I67" s="61" t="s">
        <v>185</v>
      </c>
      <c r="J67" s="62" t="s">
        <v>186</v>
      </c>
      <c r="K67" s="61">
        <v>30803</v>
      </c>
      <c r="L67" s="61" t="s">
        <v>187</v>
      </c>
      <c r="M67" s="62" t="s">
        <v>71</v>
      </c>
      <c r="N67" s="62"/>
      <c r="O67" s="63" t="s">
        <v>167</v>
      </c>
      <c r="P67" s="64" t="s">
        <v>188</v>
      </c>
    </row>
    <row r="68" spans="1:16" ht="12.75" customHeight="1" thickBot="1" x14ac:dyDescent="0.25">
      <c r="A68" s="30" t="str">
        <f t="shared" si="6"/>
        <v>BAVM 62 </v>
      </c>
      <c r="B68" s="5" t="str">
        <f t="shared" si="7"/>
        <v>I</v>
      </c>
      <c r="C68" s="30">
        <f t="shared" si="8"/>
        <v>48762.498</v>
      </c>
      <c r="D68" s="23" t="str">
        <f t="shared" si="9"/>
        <v>vis</v>
      </c>
      <c r="E68" s="60">
        <f>VLOOKUP(C68,Active!C$21:E$972,3,FALSE)</f>
        <v>31411.994391936878</v>
      </c>
      <c r="F68" s="5" t="s">
        <v>68</v>
      </c>
      <c r="G68" s="23" t="str">
        <f t="shared" si="10"/>
        <v>48762.498</v>
      </c>
      <c r="H68" s="30">
        <f t="shared" si="11"/>
        <v>31412</v>
      </c>
      <c r="I68" s="61" t="s">
        <v>189</v>
      </c>
      <c r="J68" s="62" t="s">
        <v>190</v>
      </c>
      <c r="K68" s="61">
        <v>31412</v>
      </c>
      <c r="L68" s="61" t="s">
        <v>191</v>
      </c>
      <c r="M68" s="62" t="s">
        <v>71</v>
      </c>
      <c r="N68" s="62"/>
      <c r="O68" s="63" t="s">
        <v>192</v>
      </c>
      <c r="P68" s="64" t="s">
        <v>193</v>
      </c>
    </row>
    <row r="69" spans="1:16" ht="12.75" customHeight="1" thickBot="1" x14ac:dyDescent="0.25">
      <c r="A69" s="30" t="str">
        <f t="shared" si="6"/>
        <v>BAVM 62 </v>
      </c>
      <c r="B69" s="5" t="str">
        <f t="shared" si="7"/>
        <v>I</v>
      </c>
      <c r="C69" s="30">
        <f t="shared" si="8"/>
        <v>48763.453999999998</v>
      </c>
      <c r="D69" s="23" t="str">
        <f t="shared" si="9"/>
        <v>vis</v>
      </c>
      <c r="E69" s="60">
        <f>VLOOKUP(C69,Active!C$21:E$972,3,FALSE)</f>
        <v>31414.00200060285</v>
      </c>
      <c r="F69" s="5" t="s">
        <v>68</v>
      </c>
      <c r="G69" s="23" t="str">
        <f t="shared" si="10"/>
        <v>48763.454</v>
      </c>
      <c r="H69" s="30">
        <f t="shared" si="11"/>
        <v>31414</v>
      </c>
      <c r="I69" s="61" t="s">
        <v>194</v>
      </c>
      <c r="J69" s="62" t="s">
        <v>195</v>
      </c>
      <c r="K69" s="61">
        <v>31414</v>
      </c>
      <c r="L69" s="61" t="s">
        <v>196</v>
      </c>
      <c r="M69" s="62" t="s">
        <v>71</v>
      </c>
      <c r="N69" s="62"/>
      <c r="O69" s="63" t="s">
        <v>192</v>
      </c>
      <c r="P69" s="64" t="s">
        <v>193</v>
      </c>
    </row>
    <row r="70" spans="1:16" ht="12.75" customHeight="1" thickBot="1" x14ac:dyDescent="0.25">
      <c r="A70" s="30" t="str">
        <f t="shared" si="6"/>
        <v>BAVM 131 </v>
      </c>
      <c r="B70" s="5" t="str">
        <f t="shared" si="7"/>
        <v>I</v>
      </c>
      <c r="C70" s="30">
        <f t="shared" si="8"/>
        <v>48802.476999999999</v>
      </c>
      <c r="D70" s="23" t="str">
        <f t="shared" si="9"/>
        <v>vis</v>
      </c>
      <c r="E70" s="60">
        <f>VLOOKUP(C70,Active!C$21:E$972,3,FALSE)</f>
        <v>31495.950654339598</v>
      </c>
      <c r="F70" s="5" t="s">
        <v>68</v>
      </c>
      <c r="G70" s="23" t="str">
        <f t="shared" si="10"/>
        <v>48802.477</v>
      </c>
      <c r="H70" s="30">
        <f t="shared" si="11"/>
        <v>31496</v>
      </c>
      <c r="I70" s="61" t="s">
        <v>197</v>
      </c>
      <c r="J70" s="62" t="s">
        <v>198</v>
      </c>
      <c r="K70" s="61">
        <v>31496</v>
      </c>
      <c r="L70" s="61" t="s">
        <v>199</v>
      </c>
      <c r="M70" s="62" t="s">
        <v>71</v>
      </c>
      <c r="N70" s="62"/>
      <c r="O70" s="63" t="s">
        <v>167</v>
      </c>
      <c r="P70" s="64" t="s">
        <v>200</v>
      </c>
    </row>
    <row r="71" spans="1:16" ht="12.75" customHeight="1" thickBot="1" x14ac:dyDescent="0.25">
      <c r="A71" s="30" t="str">
        <f t="shared" si="6"/>
        <v>BAVM 68 </v>
      </c>
      <c r="B71" s="5" t="str">
        <f t="shared" si="7"/>
        <v>I</v>
      </c>
      <c r="C71" s="30">
        <f t="shared" si="8"/>
        <v>49132.498</v>
      </c>
      <c r="D71" s="23" t="str">
        <f t="shared" si="9"/>
        <v>vis</v>
      </c>
      <c r="E71" s="60">
        <f>VLOOKUP(C71,Active!C$21:E$972,3,FALSE)</f>
        <v>32188.997745922887</v>
      </c>
      <c r="F71" s="5" t="s">
        <v>68</v>
      </c>
      <c r="G71" s="23" t="str">
        <f t="shared" si="10"/>
        <v>49132.4980</v>
      </c>
      <c r="H71" s="30">
        <f t="shared" si="11"/>
        <v>32189</v>
      </c>
      <c r="I71" s="61" t="s">
        <v>201</v>
      </c>
      <c r="J71" s="62" t="s">
        <v>202</v>
      </c>
      <c r="K71" s="61">
        <v>32189</v>
      </c>
      <c r="L71" s="61" t="s">
        <v>203</v>
      </c>
      <c r="M71" s="62" t="s">
        <v>204</v>
      </c>
      <c r="N71" s="62" t="s">
        <v>205</v>
      </c>
      <c r="O71" s="63" t="s">
        <v>192</v>
      </c>
      <c r="P71" s="64" t="s">
        <v>206</v>
      </c>
    </row>
    <row r="72" spans="1:16" ht="12.75" customHeight="1" thickBot="1" x14ac:dyDescent="0.25">
      <c r="A72" s="30" t="str">
        <f t="shared" si="6"/>
        <v> BBS 126 </v>
      </c>
      <c r="B72" s="5" t="str">
        <f t="shared" si="7"/>
        <v>I</v>
      </c>
      <c r="C72" s="30">
        <f t="shared" si="8"/>
        <v>52113.4401</v>
      </c>
      <c r="D72" s="23" t="str">
        <f t="shared" si="9"/>
        <v>vis</v>
      </c>
      <c r="E72" s="60">
        <f>VLOOKUP(C72,Active!C$21:E$972,3,FALSE)</f>
        <v>38449.003177647479</v>
      </c>
      <c r="F72" s="5" t="s">
        <v>68</v>
      </c>
      <c r="G72" s="23" t="str">
        <f t="shared" si="10"/>
        <v>52113.4401</v>
      </c>
      <c r="H72" s="30">
        <f t="shared" si="11"/>
        <v>38449</v>
      </c>
      <c r="I72" s="61" t="s">
        <v>238</v>
      </c>
      <c r="J72" s="62" t="s">
        <v>239</v>
      </c>
      <c r="K72" s="61">
        <v>38449</v>
      </c>
      <c r="L72" s="61" t="s">
        <v>240</v>
      </c>
      <c r="M72" s="62" t="s">
        <v>204</v>
      </c>
      <c r="N72" s="62" t="s">
        <v>232</v>
      </c>
      <c r="O72" s="63" t="s">
        <v>233</v>
      </c>
      <c r="P72" s="63" t="s">
        <v>241</v>
      </c>
    </row>
    <row r="73" spans="1:16" ht="12.75" customHeight="1" thickBot="1" x14ac:dyDescent="0.25">
      <c r="A73" s="30" t="str">
        <f t="shared" si="6"/>
        <v> BBS 126 </v>
      </c>
      <c r="B73" s="5" t="str">
        <f t="shared" si="7"/>
        <v>I</v>
      </c>
      <c r="C73" s="30">
        <f t="shared" si="8"/>
        <v>52196.296799999996</v>
      </c>
      <c r="D73" s="23" t="str">
        <f t="shared" si="9"/>
        <v>vis</v>
      </c>
      <c r="E73" s="60">
        <f>VLOOKUP(C73,Active!C$21:E$972,3,FALSE)</f>
        <v>38623.002998729127</v>
      </c>
      <c r="F73" s="5" t="s">
        <v>68</v>
      </c>
      <c r="G73" s="23" t="str">
        <f t="shared" si="10"/>
        <v>52196.2968</v>
      </c>
      <c r="H73" s="30">
        <f t="shared" si="11"/>
        <v>38623</v>
      </c>
      <c r="I73" s="61" t="s">
        <v>242</v>
      </c>
      <c r="J73" s="62" t="s">
        <v>243</v>
      </c>
      <c r="K73" s="61">
        <v>38623</v>
      </c>
      <c r="L73" s="61" t="s">
        <v>244</v>
      </c>
      <c r="M73" s="62" t="s">
        <v>204</v>
      </c>
      <c r="N73" s="62" t="s">
        <v>232</v>
      </c>
      <c r="O73" s="63" t="s">
        <v>233</v>
      </c>
      <c r="P73" s="63" t="s">
        <v>241</v>
      </c>
    </row>
    <row r="74" spans="1:16" ht="12.75" customHeight="1" thickBot="1" x14ac:dyDescent="0.25">
      <c r="A74" s="30" t="str">
        <f t="shared" si="6"/>
        <v> BBS 128 </v>
      </c>
      <c r="B74" s="5" t="str">
        <f t="shared" si="7"/>
        <v>I</v>
      </c>
      <c r="C74" s="30">
        <f t="shared" si="8"/>
        <v>52483.439200000001</v>
      </c>
      <c r="D74" s="23" t="str">
        <f t="shared" si="9"/>
        <v>vis</v>
      </c>
      <c r="E74" s="60">
        <f>VLOOKUP(C74,Active!C$21:E$972,3,FALSE)</f>
        <v>39226.004641625332</v>
      </c>
      <c r="F74" s="5" t="s">
        <v>68</v>
      </c>
      <c r="G74" s="23" t="str">
        <f t="shared" si="10"/>
        <v>52483.4392</v>
      </c>
      <c r="H74" s="30">
        <f t="shared" si="11"/>
        <v>39226</v>
      </c>
      <c r="I74" s="61" t="s">
        <v>245</v>
      </c>
      <c r="J74" s="62" t="s">
        <v>246</v>
      </c>
      <c r="K74" s="61">
        <v>39226</v>
      </c>
      <c r="L74" s="61" t="s">
        <v>247</v>
      </c>
      <c r="M74" s="62" t="s">
        <v>204</v>
      </c>
      <c r="N74" s="62" t="s">
        <v>232</v>
      </c>
      <c r="O74" s="63" t="s">
        <v>233</v>
      </c>
      <c r="P74" s="63" t="s">
        <v>248</v>
      </c>
    </row>
    <row r="75" spans="1:16" ht="12.75" customHeight="1" thickBot="1" x14ac:dyDescent="0.25">
      <c r="A75" s="30" t="str">
        <f t="shared" si="6"/>
        <v>VSB 46 </v>
      </c>
      <c r="B75" s="5" t="str">
        <f t="shared" si="7"/>
        <v>I</v>
      </c>
      <c r="C75" s="30">
        <f t="shared" si="8"/>
        <v>54310.100100000003</v>
      </c>
      <c r="D75" s="23" t="str">
        <f t="shared" si="9"/>
        <v>vis</v>
      </c>
      <c r="E75" s="60">
        <f>VLOOKUP(C75,Active!C$21:E$972,3,FALSE)</f>
        <v>43062.009089990483</v>
      </c>
      <c r="F75" s="5" t="s">
        <v>68</v>
      </c>
      <c r="G75" s="23" t="str">
        <f t="shared" si="10"/>
        <v>54310.1001</v>
      </c>
      <c r="H75" s="30">
        <f t="shared" si="11"/>
        <v>43062</v>
      </c>
      <c r="I75" s="61" t="s">
        <v>276</v>
      </c>
      <c r="J75" s="62" t="s">
        <v>277</v>
      </c>
      <c r="K75" s="61" t="s">
        <v>278</v>
      </c>
      <c r="L75" s="61" t="s">
        <v>279</v>
      </c>
      <c r="M75" s="62" t="s">
        <v>252</v>
      </c>
      <c r="N75" s="62" t="s">
        <v>68</v>
      </c>
      <c r="O75" s="63" t="s">
        <v>280</v>
      </c>
      <c r="P75" s="64" t="s">
        <v>281</v>
      </c>
    </row>
    <row r="76" spans="1:16" ht="12.75" customHeight="1" thickBot="1" x14ac:dyDescent="0.25">
      <c r="A76" s="30" t="str">
        <f t="shared" si="6"/>
        <v>VSB 46 </v>
      </c>
      <c r="B76" s="5" t="str">
        <f t="shared" si="7"/>
        <v>I</v>
      </c>
      <c r="C76" s="30">
        <f t="shared" si="8"/>
        <v>54340.099000000002</v>
      </c>
      <c r="D76" s="23" t="str">
        <f t="shared" si="9"/>
        <v>vis</v>
      </c>
      <c r="E76" s="60">
        <f>VLOOKUP(C76,Active!C$21:E$972,3,FALSE)</f>
        <v>43125.00705192532</v>
      </c>
      <c r="F76" s="5" t="s">
        <v>68</v>
      </c>
      <c r="G76" s="23" t="str">
        <f t="shared" si="10"/>
        <v>54340.0990</v>
      </c>
      <c r="H76" s="30">
        <f t="shared" si="11"/>
        <v>43125</v>
      </c>
      <c r="I76" s="61" t="s">
        <v>282</v>
      </c>
      <c r="J76" s="62" t="s">
        <v>283</v>
      </c>
      <c r="K76" s="61" t="s">
        <v>284</v>
      </c>
      <c r="L76" s="61" t="s">
        <v>285</v>
      </c>
      <c r="M76" s="62" t="s">
        <v>252</v>
      </c>
      <c r="N76" s="62" t="s">
        <v>68</v>
      </c>
      <c r="O76" s="63" t="s">
        <v>286</v>
      </c>
      <c r="P76" s="64" t="s">
        <v>281</v>
      </c>
    </row>
    <row r="77" spans="1:16" ht="12.75" customHeight="1" thickBot="1" x14ac:dyDescent="0.25">
      <c r="A77" s="30" t="str">
        <f t="shared" si="6"/>
        <v>VSB 50 </v>
      </c>
      <c r="B77" s="5" t="str">
        <f t="shared" si="7"/>
        <v>I</v>
      </c>
      <c r="C77" s="30">
        <f t="shared" si="8"/>
        <v>55011.048999999999</v>
      </c>
      <c r="D77" s="23" t="str">
        <f t="shared" si="9"/>
        <v>vis</v>
      </c>
      <c r="E77" s="60">
        <f>VLOOKUP(C77,Active!C$21:E$972,3,FALSE)</f>
        <v>44534.008133971023</v>
      </c>
      <c r="F77" s="5" t="s">
        <v>68</v>
      </c>
      <c r="G77" s="23" t="str">
        <f t="shared" si="10"/>
        <v>55011.0490</v>
      </c>
      <c r="H77" s="30">
        <f t="shared" si="11"/>
        <v>44534</v>
      </c>
      <c r="I77" s="61" t="s">
        <v>287</v>
      </c>
      <c r="J77" s="62" t="s">
        <v>288</v>
      </c>
      <c r="K77" s="61" t="s">
        <v>289</v>
      </c>
      <c r="L77" s="61" t="s">
        <v>290</v>
      </c>
      <c r="M77" s="62" t="s">
        <v>252</v>
      </c>
      <c r="N77" s="62" t="s">
        <v>68</v>
      </c>
      <c r="O77" s="63" t="s">
        <v>291</v>
      </c>
      <c r="P77" s="64" t="s">
        <v>292</v>
      </c>
    </row>
    <row r="78" spans="1:16" ht="12.75" customHeight="1" thickBot="1" x14ac:dyDescent="0.25">
      <c r="A78" s="30" t="str">
        <f t="shared" si="6"/>
        <v>BAVM 225 </v>
      </c>
      <c r="B78" s="5" t="str">
        <f t="shared" si="7"/>
        <v>I</v>
      </c>
      <c r="C78" s="30">
        <f t="shared" si="8"/>
        <v>55671.520799999998</v>
      </c>
      <c r="D78" s="23" t="str">
        <f t="shared" si="9"/>
        <v>vis</v>
      </c>
      <c r="E78" s="60">
        <f>VLOOKUP(C78,Active!C$21:E$972,3,FALSE)</f>
        <v>45921.004901033666</v>
      </c>
      <c r="F78" s="5" t="s">
        <v>68</v>
      </c>
      <c r="G78" s="23" t="str">
        <f t="shared" si="10"/>
        <v>55671.5208</v>
      </c>
      <c r="H78" s="30">
        <f t="shared" si="11"/>
        <v>45921</v>
      </c>
      <c r="I78" s="61" t="s">
        <v>306</v>
      </c>
      <c r="J78" s="62" t="s">
        <v>307</v>
      </c>
      <c r="K78" s="61" t="s">
        <v>308</v>
      </c>
      <c r="L78" s="61" t="s">
        <v>309</v>
      </c>
      <c r="M78" s="62" t="s">
        <v>252</v>
      </c>
      <c r="N78" s="62" t="s">
        <v>205</v>
      </c>
      <c r="O78" s="63" t="s">
        <v>310</v>
      </c>
      <c r="P78" s="64" t="s">
        <v>311</v>
      </c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</sheetData>
  <phoneticPr fontId="8" type="noConversion"/>
  <hyperlinks>
    <hyperlink ref="P60" r:id="rId1" display="http://www.bav-astro.de/sfs/BAVM_link.php?BAVMnr=56" xr:uid="{00000000-0004-0000-0200-000000000000}"/>
    <hyperlink ref="P61" r:id="rId2" display="http://www.bav-astro.de/sfs/BAVM_link.php?BAVMnr=56" xr:uid="{00000000-0004-0000-0200-000001000000}"/>
    <hyperlink ref="P62" r:id="rId3" display="http://www.bav-astro.de/sfs/BAVM_link.php?BAVMnr=56" xr:uid="{00000000-0004-0000-0200-000002000000}"/>
    <hyperlink ref="P63" r:id="rId4" display="http://www.bav-astro.de/sfs/BAVM_link.php?BAVMnr=56" xr:uid="{00000000-0004-0000-0200-000003000000}"/>
    <hyperlink ref="P64" r:id="rId5" display="http://www.bav-astro.de/sfs/BAVM_link.php?BAVMnr=56" xr:uid="{00000000-0004-0000-0200-000004000000}"/>
    <hyperlink ref="P65" r:id="rId6" display="http://www.bav-astro.de/sfs/BAVM_link.php?BAVMnr=56" xr:uid="{00000000-0004-0000-0200-000005000000}"/>
    <hyperlink ref="P66" r:id="rId7" display="http://www.bav-astro.de/sfs/BAVM_link.php?BAVMnr=56" xr:uid="{00000000-0004-0000-0200-000006000000}"/>
    <hyperlink ref="P67" r:id="rId8" display="http://www.bav-astro.de/sfs/BAVM_link.php?BAVMnr=79" xr:uid="{00000000-0004-0000-0200-000007000000}"/>
    <hyperlink ref="P68" r:id="rId9" display="http://www.bav-astro.de/sfs/BAVM_link.php?BAVMnr=62" xr:uid="{00000000-0004-0000-0200-000008000000}"/>
    <hyperlink ref="P69" r:id="rId10" display="http://www.bav-astro.de/sfs/BAVM_link.php?BAVMnr=62" xr:uid="{00000000-0004-0000-0200-000009000000}"/>
    <hyperlink ref="P70" r:id="rId11" display="http://www.bav-astro.de/sfs/BAVM_link.php?BAVMnr=131" xr:uid="{00000000-0004-0000-0200-00000A000000}"/>
    <hyperlink ref="P71" r:id="rId12" display="http://www.bav-astro.de/sfs/BAVM_link.php?BAVMnr=68" xr:uid="{00000000-0004-0000-0200-00000B000000}"/>
    <hyperlink ref="P11" r:id="rId13" display="http://www.bav-astro.de/sfs/BAVM_link.php?BAVMnr=132" xr:uid="{00000000-0004-0000-0200-00000C000000}"/>
    <hyperlink ref="P12" r:id="rId14" display="http://www.bav-astro.de/sfs/BAVM_link.php?BAVMnr=132" xr:uid="{00000000-0004-0000-0200-00000D000000}"/>
    <hyperlink ref="P13" r:id="rId15" display="http://www.bav-astro.de/sfs/BAVM_link.php?BAVMnr=132" xr:uid="{00000000-0004-0000-0200-00000E000000}"/>
    <hyperlink ref="P14" r:id="rId16" display="http://www.bav-astro.de/sfs/BAVM_link.php?BAVMnr=132" xr:uid="{00000000-0004-0000-0200-00000F000000}"/>
    <hyperlink ref="P15" r:id="rId17" display="http://www.bav-astro.de/sfs/BAVM_link.php?BAVMnr=132" xr:uid="{00000000-0004-0000-0200-000010000000}"/>
    <hyperlink ref="P16" r:id="rId18" display="http://www.bav-astro.de/sfs/BAVM_link.php?BAVMnr=132" xr:uid="{00000000-0004-0000-0200-000011000000}"/>
    <hyperlink ref="P17" r:id="rId19" display="http://www.bav-astro.de/sfs/BAVM_link.php?BAVMnr=132" xr:uid="{00000000-0004-0000-0200-000012000000}"/>
    <hyperlink ref="P18" r:id="rId20" display="http://www.konkoly.hu/cgi-bin/IBVS?5027" xr:uid="{00000000-0004-0000-0200-000013000000}"/>
    <hyperlink ref="P19" r:id="rId21" display="http://www.konkoly.hu/cgi-bin/IBVS?5027" xr:uid="{00000000-0004-0000-0200-000014000000}"/>
    <hyperlink ref="P21" r:id="rId22" display="http://www.konkoly.hu/cgi-bin/IBVS?5592" xr:uid="{00000000-0004-0000-0200-000015000000}"/>
    <hyperlink ref="P22" r:id="rId23" display="http://www.konkoly.hu/cgi-bin/IBVS?5677" xr:uid="{00000000-0004-0000-0200-000016000000}"/>
    <hyperlink ref="P24" r:id="rId24" display="http://www.bav-astro.de/sfs/BAVM_link.php?BAVMnr=183" xr:uid="{00000000-0004-0000-0200-000017000000}"/>
    <hyperlink ref="P75" r:id="rId25" display="http://vsolj.cetus-net.org/no46.pdf" xr:uid="{00000000-0004-0000-0200-000018000000}"/>
    <hyperlink ref="P76" r:id="rId26" display="http://vsolj.cetus-net.org/no46.pdf" xr:uid="{00000000-0004-0000-0200-000019000000}"/>
    <hyperlink ref="P77" r:id="rId27" display="http://vsolj.cetus-net.org/vsoljno50.pdf" xr:uid="{00000000-0004-0000-0200-00001A000000}"/>
    <hyperlink ref="P25" r:id="rId28" display="http://www.bav-astro.de/sfs/BAVM_link.php?BAVMnr=214" xr:uid="{00000000-0004-0000-0200-00001B000000}"/>
    <hyperlink ref="P26" r:id="rId29" display="http://www.konkoly.hu/cgi-bin/IBVS?5988" xr:uid="{00000000-0004-0000-0200-00001C000000}"/>
    <hyperlink ref="P78" r:id="rId30" display="http://www.bav-astro.de/sfs/BAVM_link.php?BAVMnr=225" xr:uid="{00000000-0004-0000-0200-00001D000000}"/>
    <hyperlink ref="P27" r:id="rId31" display="http://www.bav-astro.de/sfs/BAVM_link.php?BAVMnr=220" xr:uid="{00000000-0004-0000-0200-00001E000000}"/>
    <hyperlink ref="P28" r:id="rId32" display="http://www.bav-astro.de/sfs/BAVM_link.php?BAVMnr=239" xr:uid="{00000000-0004-0000-02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2023-12-31T05:21:06Z</dcterms:modified>
</cp:coreProperties>
</file>