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25E07E6-6B3A-4F04-9F4D-D5DE794F9CE0}" xr6:coauthVersionLast="47" xr6:coauthVersionMax="47" xr10:uidLastSave="{00000000-0000-0000-0000-000000000000}"/>
  <bookViews>
    <workbookView xWindow="14040" yWindow="450" windowWidth="12975" windowHeight="14655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F67" i="1"/>
  <c r="G67" i="1" s="1"/>
  <c r="K67" i="1" s="1"/>
  <c r="Q67" i="1"/>
  <c r="E68" i="1"/>
  <c r="F68" i="1" s="1"/>
  <c r="G68" i="1" s="1"/>
  <c r="K68" i="1" s="1"/>
  <c r="Q68" i="1"/>
  <c r="Q66" i="1"/>
  <c r="Q60" i="1"/>
  <c r="C7" i="1"/>
  <c r="E35" i="1" s="1"/>
  <c r="F35" i="1" s="1"/>
  <c r="C8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2" i="1"/>
  <c r="Q31" i="1"/>
  <c r="Q30" i="1"/>
  <c r="Q29" i="1"/>
  <c r="Q28" i="1"/>
  <c r="Q27" i="1"/>
  <c r="Q26" i="1"/>
  <c r="Q25" i="1"/>
  <c r="Q24" i="1"/>
  <c r="Q23" i="1"/>
  <c r="Q22" i="1"/>
  <c r="Q21" i="1"/>
  <c r="G25" i="2"/>
  <c r="C25" i="2"/>
  <c r="G24" i="2"/>
  <c r="C24" i="2" s="1"/>
  <c r="G23" i="2"/>
  <c r="C23" i="2" s="1"/>
  <c r="G22" i="2"/>
  <c r="C22" i="2"/>
  <c r="G21" i="2"/>
  <c r="C21" i="2"/>
  <c r="G54" i="2"/>
  <c r="C54" i="2" s="1"/>
  <c r="E54" i="2" s="1"/>
  <c r="G20" i="2"/>
  <c r="C20" i="2" s="1"/>
  <c r="G19" i="2"/>
  <c r="C19" i="2"/>
  <c r="E19" i="2" s="1"/>
  <c r="G18" i="2"/>
  <c r="C18" i="2"/>
  <c r="G17" i="2"/>
  <c r="C17" i="2" s="1"/>
  <c r="E17" i="2" s="1"/>
  <c r="G16" i="2"/>
  <c r="C16" i="2" s="1"/>
  <c r="E16" i="2" s="1"/>
  <c r="G53" i="2"/>
  <c r="C53" i="2"/>
  <c r="E53" i="2" s="1"/>
  <c r="G15" i="2"/>
  <c r="C15" i="2"/>
  <c r="G14" i="2"/>
  <c r="C14" i="2" s="1"/>
  <c r="G13" i="2"/>
  <c r="C13" i="2"/>
  <c r="G12" i="2"/>
  <c r="C12" i="2" s="1"/>
  <c r="E12" i="2" s="1"/>
  <c r="G11" i="2"/>
  <c r="C11" i="2" s="1"/>
  <c r="G52" i="2"/>
  <c r="C52" i="2"/>
  <c r="G51" i="2"/>
  <c r="C51" i="2"/>
  <c r="G50" i="2"/>
  <c r="C50" i="2" s="1"/>
  <c r="E50" i="2" s="1"/>
  <c r="G49" i="2"/>
  <c r="C49" i="2" s="1"/>
  <c r="E49" i="2" s="1"/>
  <c r="G48" i="2"/>
  <c r="C48" i="2"/>
  <c r="G47" i="2"/>
  <c r="C47" i="2"/>
  <c r="G46" i="2"/>
  <c r="C46" i="2" s="1"/>
  <c r="E46" i="2" s="1"/>
  <c r="G45" i="2"/>
  <c r="C45" i="2" s="1"/>
  <c r="E45" i="2" s="1"/>
  <c r="G44" i="2"/>
  <c r="C44" i="2"/>
  <c r="G43" i="2"/>
  <c r="C43" i="2"/>
  <c r="G42" i="2"/>
  <c r="C42" i="2" s="1"/>
  <c r="E42" i="2" s="1"/>
  <c r="G41" i="2"/>
  <c r="C41" i="2"/>
  <c r="G40" i="2"/>
  <c r="C40" i="2"/>
  <c r="G39" i="2"/>
  <c r="C39" i="2" s="1"/>
  <c r="E39" i="2" s="1"/>
  <c r="G38" i="2"/>
  <c r="C38" i="2" s="1"/>
  <c r="E38" i="2" s="1"/>
  <c r="G37" i="2"/>
  <c r="C37" i="2" s="1"/>
  <c r="E37" i="2" s="1"/>
  <c r="G36" i="2"/>
  <c r="C36" i="2"/>
  <c r="G35" i="2"/>
  <c r="C35" i="2" s="1"/>
  <c r="G34" i="2"/>
  <c r="C34" i="2" s="1"/>
  <c r="G33" i="2"/>
  <c r="C33" i="2"/>
  <c r="G32" i="2"/>
  <c r="C32" i="2"/>
  <c r="G31" i="2"/>
  <c r="C31" i="2" s="1"/>
  <c r="G30" i="2"/>
  <c r="C30" i="2"/>
  <c r="E30" i="2" s="1"/>
  <c r="G29" i="2"/>
  <c r="C29" i="2" s="1"/>
  <c r="E29" i="2" s="1"/>
  <c r="G28" i="2"/>
  <c r="C28" i="2" s="1"/>
  <c r="G27" i="2"/>
  <c r="C27" i="2" s="1"/>
  <c r="G26" i="2"/>
  <c r="C26" i="2" s="1"/>
  <c r="E26" i="2" s="1"/>
  <c r="H25" i="2"/>
  <c r="B25" i="2" s="1"/>
  <c r="D25" i="2"/>
  <c r="A25" i="2"/>
  <c r="H24" i="2"/>
  <c r="D24" i="2"/>
  <c r="B24" i="2"/>
  <c r="A24" i="2"/>
  <c r="H23" i="2"/>
  <c r="B23" i="2" s="1"/>
  <c r="D23" i="2"/>
  <c r="A23" i="2"/>
  <c r="H22" i="2"/>
  <c r="D22" i="2"/>
  <c r="B22" i="2"/>
  <c r="A22" i="2"/>
  <c r="H21" i="2"/>
  <c r="B21" i="2" s="1"/>
  <c r="D21" i="2"/>
  <c r="A21" i="2"/>
  <c r="H54" i="2"/>
  <c r="D54" i="2"/>
  <c r="B54" i="2"/>
  <c r="A54" i="2"/>
  <c r="H20" i="2"/>
  <c r="B20" i="2" s="1"/>
  <c r="D20" i="2"/>
  <c r="A20" i="2"/>
  <c r="H19" i="2"/>
  <c r="D19" i="2"/>
  <c r="B19" i="2"/>
  <c r="A19" i="2"/>
  <c r="H18" i="2"/>
  <c r="B18" i="2" s="1"/>
  <c r="D18" i="2"/>
  <c r="A18" i="2"/>
  <c r="H17" i="2"/>
  <c r="D17" i="2"/>
  <c r="B17" i="2"/>
  <c r="A17" i="2"/>
  <c r="H16" i="2"/>
  <c r="B16" i="2" s="1"/>
  <c r="D16" i="2"/>
  <c r="A16" i="2"/>
  <c r="H53" i="2"/>
  <c r="D53" i="2"/>
  <c r="B53" i="2"/>
  <c r="A53" i="2"/>
  <c r="H15" i="2"/>
  <c r="B15" i="2" s="1"/>
  <c r="D15" i="2"/>
  <c r="A15" i="2"/>
  <c r="H14" i="2"/>
  <c r="D14" i="2"/>
  <c r="B14" i="2"/>
  <c r="A14" i="2"/>
  <c r="H13" i="2"/>
  <c r="B13" i="2" s="1"/>
  <c r="D13" i="2"/>
  <c r="A13" i="2"/>
  <c r="H12" i="2"/>
  <c r="D12" i="2"/>
  <c r="B12" i="2"/>
  <c r="A12" i="2"/>
  <c r="H11" i="2"/>
  <c r="B11" i="2" s="1"/>
  <c r="D11" i="2"/>
  <c r="A11" i="2"/>
  <c r="H52" i="2"/>
  <c r="D52" i="2"/>
  <c r="B52" i="2"/>
  <c r="A52" i="2"/>
  <c r="H51" i="2"/>
  <c r="B51" i="2" s="1"/>
  <c r="D51" i="2"/>
  <c r="A51" i="2"/>
  <c r="H50" i="2"/>
  <c r="D50" i="2"/>
  <c r="B50" i="2"/>
  <c r="A50" i="2"/>
  <c r="H49" i="2"/>
  <c r="B49" i="2" s="1"/>
  <c r="D49" i="2"/>
  <c r="A49" i="2"/>
  <c r="H48" i="2"/>
  <c r="D48" i="2"/>
  <c r="B48" i="2"/>
  <c r="A48" i="2"/>
  <c r="H47" i="2"/>
  <c r="B47" i="2" s="1"/>
  <c r="D47" i="2"/>
  <c r="A47" i="2"/>
  <c r="H46" i="2"/>
  <c r="D46" i="2"/>
  <c r="B46" i="2"/>
  <c r="A46" i="2"/>
  <c r="H45" i="2"/>
  <c r="B45" i="2" s="1"/>
  <c r="D45" i="2"/>
  <c r="A45" i="2"/>
  <c r="H44" i="2"/>
  <c r="D44" i="2"/>
  <c r="B44" i="2"/>
  <c r="A44" i="2"/>
  <c r="H43" i="2"/>
  <c r="B43" i="2" s="1"/>
  <c r="D43" i="2"/>
  <c r="A43" i="2"/>
  <c r="H42" i="2"/>
  <c r="D42" i="2"/>
  <c r="B42" i="2"/>
  <c r="A42" i="2"/>
  <c r="H41" i="2"/>
  <c r="B41" i="2" s="1"/>
  <c r="D41" i="2"/>
  <c r="A41" i="2"/>
  <c r="H40" i="2"/>
  <c r="D40" i="2"/>
  <c r="B40" i="2"/>
  <c r="A40" i="2"/>
  <c r="H39" i="2"/>
  <c r="B39" i="2" s="1"/>
  <c r="D39" i="2"/>
  <c r="A39" i="2"/>
  <c r="H38" i="2"/>
  <c r="D38" i="2"/>
  <c r="B38" i="2"/>
  <c r="A38" i="2"/>
  <c r="H37" i="2"/>
  <c r="B37" i="2" s="1"/>
  <c r="D37" i="2"/>
  <c r="A37" i="2"/>
  <c r="H36" i="2"/>
  <c r="D36" i="2"/>
  <c r="B36" i="2"/>
  <c r="A36" i="2"/>
  <c r="H35" i="2"/>
  <c r="B35" i="2" s="1"/>
  <c r="D35" i="2"/>
  <c r="A35" i="2"/>
  <c r="H34" i="2"/>
  <c r="D34" i="2"/>
  <c r="B34" i="2"/>
  <c r="A34" i="2"/>
  <c r="H33" i="2"/>
  <c r="B33" i="2" s="1"/>
  <c r="D33" i="2"/>
  <c r="A33" i="2"/>
  <c r="H32" i="2"/>
  <c r="D32" i="2"/>
  <c r="B32" i="2"/>
  <c r="A32" i="2"/>
  <c r="H31" i="2"/>
  <c r="B31" i="2" s="1"/>
  <c r="D31" i="2"/>
  <c r="A31" i="2"/>
  <c r="H30" i="2"/>
  <c r="D30" i="2"/>
  <c r="B30" i="2"/>
  <c r="A30" i="2"/>
  <c r="H29" i="2"/>
  <c r="B29" i="2" s="1"/>
  <c r="D29" i="2"/>
  <c r="A29" i="2"/>
  <c r="H28" i="2"/>
  <c r="D28" i="2"/>
  <c r="B28" i="2"/>
  <c r="A28" i="2"/>
  <c r="H27" i="2"/>
  <c r="B27" i="2" s="1"/>
  <c r="D27" i="2"/>
  <c r="A27" i="2"/>
  <c r="H26" i="2"/>
  <c r="D26" i="2"/>
  <c r="B26" i="2"/>
  <c r="A26" i="2"/>
  <c r="C9" i="1"/>
  <c r="D9" i="1"/>
  <c r="Q63" i="1"/>
  <c r="Q65" i="1"/>
  <c r="Q51" i="1"/>
  <c r="Q62" i="1"/>
  <c r="Q64" i="1"/>
  <c r="F16" i="1"/>
  <c r="F17" i="1" s="1"/>
  <c r="Q59" i="1"/>
  <c r="Q61" i="1"/>
  <c r="Q49" i="1"/>
  <c r="Q55" i="1"/>
  <c r="Q56" i="1"/>
  <c r="Q57" i="1"/>
  <c r="Q58" i="1"/>
  <c r="Q52" i="1"/>
  <c r="Q53" i="1"/>
  <c r="Q54" i="1"/>
  <c r="Q50" i="1"/>
  <c r="C17" i="1"/>
  <c r="Q33" i="1"/>
  <c r="E33" i="2"/>
  <c r="E32" i="2"/>
  <c r="E47" i="2"/>
  <c r="E28" i="1"/>
  <c r="F28" i="1" s="1"/>
  <c r="G28" i="1" s="1"/>
  <c r="I28" i="1" s="1"/>
  <c r="E46" i="1"/>
  <c r="E51" i="1"/>
  <c r="E13" i="2" s="1"/>
  <c r="E25" i="1"/>
  <c r="F25" i="1" s="1"/>
  <c r="G25" i="1" s="1"/>
  <c r="I25" i="1" s="1"/>
  <c r="E34" i="1"/>
  <c r="F34" i="1" s="1"/>
  <c r="G34" i="1" s="1"/>
  <c r="I34" i="1" s="1"/>
  <c r="E42" i="1"/>
  <c r="E56" i="1"/>
  <c r="F56" i="1" s="1"/>
  <c r="E61" i="1"/>
  <c r="E21" i="2" s="1"/>
  <c r="E27" i="1"/>
  <c r="F27" i="1"/>
  <c r="G27" i="1" s="1"/>
  <c r="I27" i="1" s="1"/>
  <c r="E44" i="1"/>
  <c r="F44" i="1" s="1"/>
  <c r="E45" i="1"/>
  <c r="F45" i="1"/>
  <c r="G45" i="1" s="1"/>
  <c r="I45" i="1" s="1"/>
  <c r="E58" i="1"/>
  <c r="F58" i="1" s="1"/>
  <c r="G58" i="1" s="1"/>
  <c r="K58" i="1" s="1"/>
  <c r="E50" i="1"/>
  <c r="F50" i="1" s="1"/>
  <c r="G50" i="1" s="1"/>
  <c r="J50" i="1" s="1"/>
  <c r="E24" i="1"/>
  <c r="F24" i="1" s="1"/>
  <c r="E32" i="1"/>
  <c r="F32" i="1"/>
  <c r="G32" i="1" s="1"/>
  <c r="I32" i="1" s="1"/>
  <c r="E41" i="1"/>
  <c r="F41" i="1" s="1"/>
  <c r="G41" i="1" s="1"/>
  <c r="I41" i="1" s="1"/>
  <c r="E55" i="1"/>
  <c r="F55" i="1"/>
  <c r="G55" i="1" s="1"/>
  <c r="J55" i="1" s="1"/>
  <c r="E21" i="1"/>
  <c r="F21" i="1"/>
  <c r="G21" i="1"/>
  <c r="I21" i="1" s="1"/>
  <c r="E38" i="1"/>
  <c r="F38" i="1" s="1"/>
  <c r="E47" i="1"/>
  <c r="F47" i="1"/>
  <c r="G47" i="1" s="1"/>
  <c r="I47" i="1" s="1"/>
  <c r="E60" i="1"/>
  <c r="F60" i="1" s="1"/>
  <c r="E43" i="1"/>
  <c r="F43" i="1" s="1"/>
  <c r="G43" i="1" s="1"/>
  <c r="I43" i="1" s="1"/>
  <c r="E57" i="1"/>
  <c r="F57" i="1"/>
  <c r="G57" i="1" s="1"/>
  <c r="J57" i="1" s="1"/>
  <c r="F46" i="1"/>
  <c r="G46" i="1" s="1"/>
  <c r="I46" i="1" s="1"/>
  <c r="E18" i="2"/>
  <c r="E48" i="2"/>
  <c r="E51" i="2"/>
  <c r="F42" i="1"/>
  <c r="G42" i="1" s="1"/>
  <c r="I42" i="1" s="1"/>
  <c r="E28" i="2" l="1"/>
  <c r="E24" i="2"/>
  <c r="E20" i="2"/>
  <c r="F61" i="1"/>
  <c r="F51" i="1"/>
  <c r="G31" i="1"/>
  <c r="I31" i="1" s="1"/>
  <c r="E52" i="1"/>
  <c r="F52" i="1" s="1"/>
  <c r="G52" i="1" s="1"/>
  <c r="J52" i="1" s="1"/>
  <c r="E23" i="1"/>
  <c r="F23" i="1" s="1"/>
  <c r="G23" i="1" s="1"/>
  <c r="I23" i="1" s="1"/>
  <c r="E31" i="1"/>
  <c r="F31" i="1" s="1"/>
  <c r="E40" i="1"/>
  <c r="F40" i="1" s="1"/>
  <c r="G40" i="1" s="1"/>
  <c r="I40" i="1" s="1"/>
  <c r="E62" i="1"/>
  <c r="F62" i="1" s="1"/>
  <c r="G62" i="1" s="1"/>
  <c r="K62" i="1" s="1"/>
  <c r="G66" i="1"/>
  <c r="K66" i="1" s="1"/>
  <c r="E53" i="1"/>
  <c r="F53" i="1" s="1"/>
  <c r="G53" i="1" s="1"/>
  <c r="J53" i="1" s="1"/>
  <c r="E48" i="1"/>
  <c r="E64" i="1"/>
  <c r="F64" i="1" s="1"/>
  <c r="G64" i="1" s="1"/>
  <c r="J64" i="1" s="1"/>
  <c r="E33" i="1"/>
  <c r="F33" i="1" s="1"/>
  <c r="E22" i="1"/>
  <c r="F22" i="1" s="1"/>
  <c r="G22" i="1" s="1"/>
  <c r="I22" i="1" s="1"/>
  <c r="E30" i="1"/>
  <c r="F30" i="1" s="1"/>
  <c r="G30" i="1" s="1"/>
  <c r="I30" i="1" s="1"/>
  <c r="E39" i="1"/>
  <c r="F39" i="1" s="1"/>
  <c r="G39" i="1" s="1"/>
  <c r="I39" i="1" s="1"/>
  <c r="E66" i="1"/>
  <c r="F66" i="1" s="1"/>
  <c r="G38" i="1"/>
  <c r="I38" i="1" s="1"/>
  <c r="E49" i="1"/>
  <c r="F49" i="1" s="1"/>
  <c r="G49" i="1" s="1"/>
  <c r="E65" i="1"/>
  <c r="F65" i="1" s="1"/>
  <c r="G65" i="1" s="1"/>
  <c r="J65" i="1" s="1"/>
  <c r="E63" i="1"/>
  <c r="F63" i="1" s="1"/>
  <c r="G63" i="1" s="1"/>
  <c r="J63" i="1" s="1"/>
  <c r="G35" i="1"/>
  <c r="I35" i="1" s="1"/>
  <c r="G24" i="1"/>
  <c r="I24" i="1" s="1"/>
  <c r="G60" i="1"/>
  <c r="K60" i="1" s="1"/>
  <c r="E36" i="1"/>
  <c r="F36" i="1" s="1"/>
  <c r="G36" i="1" s="1"/>
  <c r="I36" i="1" s="1"/>
  <c r="E37" i="1"/>
  <c r="E54" i="1"/>
  <c r="F54" i="1" s="1"/>
  <c r="G54" i="1" s="1"/>
  <c r="K54" i="1" s="1"/>
  <c r="E29" i="1"/>
  <c r="F29" i="1" s="1"/>
  <c r="G29" i="1" s="1"/>
  <c r="I29" i="1" s="1"/>
  <c r="G61" i="1"/>
  <c r="K61" i="1" s="1"/>
  <c r="G56" i="1"/>
  <c r="J56" i="1" s="1"/>
  <c r="G44" i="1"/>
  <c r="I44" i="1" s="1"/>
  <c r="G51" i="1"/>
  <c r="K51" i="1" s="1"/>
  <c r="E59" i="1"/>
  <c r="F59" i="1" s="1"/>
  <c r="G59" i="1" s="1"/>
  <c r="J59" i="1" s="1"/>
  <c r="E26" i="1"/>
  <c r="F26" i="1" s="1"/>
  <c r="G26" i="1" s="1"/>
  <c r="I26" i="1" s="1"/>
  <c r="C12" i="1"/>
  <c r="C11" i="1"/>
  <c r="O68" i="1" l="1"/>
  <c r="O67" i="1"/>
  <c r="O52" i="1"/>
  <c r="O45" i="1"/>
  <c r="O50" i="1"/>
  <c r="O59" i="1"/>
  <c r="O60" i="1"/>
  <c r="O55" i="1"/>
  <c r="O53" i="1"/>
  <c r="O65" i="1"/>
  <c r="O46" i="1"/>
  <c r="O47" i="1"/>
  <c r="O63" i="1"/>
  <c r="O49" i="1"/>
  <c r="O58" i="1"/>
  <c r="O61" i="1"/>
  <c r="O66" i="1"/>
  <c r="O57" i="1"/>
  <c r="O54" i="1"/>
  <c r="O51" i="1"/>
  <c r="O62" i="1"/>
  <c r="O56" i="1"/>
  <c r="O64" i="1"/>
  <c r="C16" i="1"/>
  <c r="D18" i="1" s="1"/>
  <c r="J49" i="1"/>
  <c r="E34" i="2"/>
  <c r="F48" i="1"/>
  <c r="G48" i="1" s="1"/>
  <c r="J48" i="1" s="1"/>
  <c r="E52" i="2"/>
  <c r="E31" i="2"/>
  <c r="E22" i="2"/>
  <c r="E15" i="2"/>
  <c r="E40" i="2"/>
  <c r="E36" i="2"/>
  <c r="E44" i="2"/>
  <c r="E35" i="2"/>
  <c r="E27" i="2"/>
  <c r="E23" i="2"/>
  <c r="E11" i="2"/>
  <c r="F37" i="1"/>
  <c r="G37" i="1" s="1"/>
  <c r="I37" i="1" s="1"/>
  <c r="E41" i="2"/>
  <c r="E25" i="2"/>
  <c r="E14" i="2"/>
  <c r="E43" i="2"/>
  <c r="C15" i="1" l="1"/>
  <c r="O48" i="1"/>
  <c r="F18" i="1" l="1"/>
  <c r="F19" i="1" s="1"/>
  <c r="C18" i="1"/>
</calcChain>
</file>

<file path=xl/sharedStrings.xml><?xml version="1.0" encoding="utf-8"?>
<sst xmlns="http://schemas.openxmlformats.org/spreadsheetml/2006/main" count="510" uniqueCount="239">
  <si>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</si>
  <si>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</si>
  <si>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</si>
  <si>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</si>
  <si>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</si>
  <si>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</si>
  <si>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</si>
  <si>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</si>
  <si>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</si>
  <si>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</si>
  <si>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</si>
  <si>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</si>
  <si>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</si>
  <si>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</si>
  <si>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</si>
  <si>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</si>
  <si>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</si>
  <si>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</si>
  <si>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</si>
  <si>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</si>
  <si>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</si>
  <si>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</si>
  <si>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</si>
  <si>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</si>
  <si>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</si>
  <si>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</si>
  <si>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</si>
  <si>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</si>
  <si>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</si>
  <si>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5016</t>
  </si>
  <si>
    <t>EB/KE</t>
  </si>
  <si>
    <t>IBVS 5672</t>
  </si>
  <si>
    <t># of data points:</t>
  </si>
  <si>
    <t>IBVS 5731</t>
  </si>
  <si>
    <t>II</t>
  </si>
  <si>
    <t>My time zone &gt;&gt;&gt;&gt;&gt;</t>
  </si>
  <si>
    <t>(PST=8, PDT=MDT=7, MDT=CST=6, etc.)</t>
  </si>
  <si>
    <t>JD today</t>
  </si>
  <si>
    <t>New Cycle</t>
  </si>
  <si>
    <t>Next ToM</t>
  </si>
  <si>
    <t>IBVS 5761</t>
  </si>
  <si>
    <t>I</t>
  </si>
  <si>
    <t>IBVS 5802</t>
  </si>
  <si>
    <t>Start of linear fit &gt;&gt;&gt;&gt;&gt;&gt;&gt;&gt;&gt;&gt;&gt;&gt;&gt;&gt;&gt;&gt;&gt;&gt;&gt;&gt;&gt;</t>
  </si>
  <si>
    <t>IBVS 4606</t>
  </si>
  <si>
    <t>IBVS 5820</t>
  </si>
  <si>
    <t>IBVS 5874</t>
  </si>
  <si>
    <t>IBVS 5929</t>
  </si>
  <si>
    <t>Add cycle</t>
  </si>
  <si>
    <t>Old Cycle</t>
  </si>
  <si>
    <t>IBVS 6010</t>
  </si>
  <si>
    <t>JAVSO..38...85</t>
  </si>
  <si>
    <t>IBVS 6070</t>
  </si>
  <si>
    <t>V0841 Cyg / GSC 2136-0494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</si>
  <si>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</si>
  <si>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</si>
  <si>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</si>
  <si>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</si>
  <si>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</si>
  <si>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</si>
  <si>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</si>
  <si>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</si>
  <si>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</si>
  <si>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</si>
  <si>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</si>
  <si>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</si>
  <si>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2432765.393 </t>
  </si>
  <si>
    <t> 01.08.1948 21:25 </t>
  </si>
  <si>
    <t> -0.010 </t>
  </si>
  <si>
    <t>P </t>
  </si>
  <si>
    <t> A.A.Wachmann </t>
  </si>
  <si>
    <t> AHSB 6.2.117 </t>
  </si>
  <si>
    <t>2432794.363 </t>
  </si>
  <si>
    <t> 30.08.1948 20:42 </t>
  </si>
  <si>
    <t> 0.037 </t>
  </si>
  <si>
    <t>2432797.382 </t>
  </si>
  <si>
    <t> 02.09.1948 21:10 </t>
  </si>
  <si>
    <t> 0.012 </t>
  </si>
  <si>
    <t>2433504.472 </t>
  </si>
  <si>
    <t> 10.08.1950 23:19 </t>
  </si>
  <si>
    <t> 0.006 </t>
  </si>
  <si>
    <t>2433893.397 </t>
  </si>
  <si>
    <t> 03.09.1951 21:31 </t>
  </si>
  <si>
    <t> -0.009 </t>
  </si>
  <si>
    <t>2433922.330 </t>
  </si>
  <si>
    <t> 02.10.1951 19:55 </t>
  </si>
  <si>
    <t> 0.001 </t>
  </si>
  <si>
    <t>2434122.517 </t>
  </si>
  <si>
    <t> 20.04.1952 00:24 </t>
  </si>
  <si>
    <t> 0.009 </t>
  </si>
  <si>
    <t>2434237.424 </t>
  </si>
  <si>
    <t> 12.08.1952 22:10 </t>
  </si>
  <si>
    <t> -0.016 </t>
  </si>
  <si>
    <t>2434600.470 </t>
  </si>
  <si>
    <t> 10.08.1953 23:16 </t>
  </si>
  <si>
    <t> -0.032 </t>
  </si>
  <si>
    <t>2434626.373 </t>
  </si>
  <si>
    <t> 05.09.1953 20:57 </t>
  </si>
  <si>
    <t> -0.007 </t>
  </si>
  <si>
    <t>2434629.387 </t>
  </si>
  <si>
    <t> 08.09.1953 21:17 </t>
  </si>
  <si>
    <t> -0.038 </t>
  </si>
  <si>
    <t>2434635.506 </t>
  </si>
  <si>
    <t> 15.09.1953 00:08 </t>
  </si>
  <si>
    <t> -0.008 </t>
  </si>
  <si>
    <t>2434655.327 </t>
  </si>
  <si>
    <t> 04.10.1953 19:50 </t>
  </si>
  <si>
    <t> 0.023 </t>
  </si>
  <si>
    <t>2435044.255 </t>
  </si>
  <si>
    <t> 28.10.1954 18:07 </t>
  </si>
  <si>
    <t> 0.011 </t>
  </si>
  <si>
    <t>2435047.299 </t>
  </si>
  <si>
    <t> 31.10.1954 19:10 </t>
  </si>
  <si>
    <t> 0.010 </t>
  </si>
  <si>
    <t>2435066.321 </t>
  </si>
  <si>
    <t> 19.11.1954 19:42 </t>
  </si>
  <si>
    <t> 0.004 </t>
  </si>
  <si>
    <t>2435317.498 </t>
  </si>
  <si>
    <t> 28.07.1955 23:57 </t>
  </si>
  <si>
    <t>2435336.495 </t>
  </si>
  <si>
    <t> 16.08.1955 23:52 </t>
  </si>
  <si>
    <t> -0.026 </t>
  </si>
  <si>
    <t>2435391.303 </t>
  </si>
  <si>
    <t> 10.10.1955 19:16 </t>
  </si>
  <si>
    <t> -0.019 </t>
  </si>
  <si>
    <t>2436809.335 </t>
  </si>
  <si>
    <t> 28.08.1959 20:02 </t>
  </si>
  <si>
    <t> 0.016 </t>
  </si>
  <si>
    <t>2436812.375 </t>
  </si>
  <si>
    <t> 31.08.1959 21:00 </t>
  </si>
  <si>
    <t>2436815.415 </t>
  </si>
  <si>
    <t> 03.09.1959 21:57 </t>
  </si>
  <si>
    <t> 0.007 </t>
  </si>
  <si>
    <t>2436818.475 </t>
  </si>
  <si>
    <t> 06.09.1959 23:24 </t>
  </si>
  <si>
    <t> 0.022 </t>
  </si>
  <si>
    <t>2436847.380 </t>
  </si>
  <si>
    <t> 05.10.1959 21:07 </t>
  </si>
  <si>
    <t>2436850.398 </t>
  </si>
  <si>
    <t> 08.10.1959 21:33 </t>
  </si>
  <si>
    <t> -0.022 </t>
  </si>
  <si>
    <t>2437143.462 </t>
  </si>
  <si>
    <t> 27.07.1960 23:05 </t>
  </si>
  <si>
    <t>2449172.4646 </t>
  </si>
  <si>
    <t> 03.07.1993 23:09 </t>
  </si>
  <si>
    <t> 0.0108 </t>
  </si>
  <si>
    <t>E </t>
  </si>
  <si>
    <t>o</t>
  </si>
  <si>
    <t> F.Agerer </t>
  </si>
  <si>
    <t>BAVM 68 </t>
  </si>
  <si>
    <t>2450700.4466 </t>
  </si>
  <si>
    <t> 08.09.1997 22:43 </t>
  </si>
  <si>
    <t> 0.0119 </t>
  </si>
  <si>
    <t>B;V</t>
  </si>
  <si>
    <t>BAVM 111 </t>
  </si>
  <si>
    <t>2451393.4595 </t>
  </si>
  <si>
    <t> 02.08.1999 23:01 </t>
  </si>
  <si>
    <t> 0.0104 </t>
  </si>
  <si>
    <t>BAVM 132 </t>
  </si>
  <si>
    <t>2452418.7078 </t>
  </si>
  <si>
    <t> 24.05.2002 04:59 </t>
  </si>
  <si>
    <t> 0.0082 </t>
  </si>
  <si>
    <t>C </t>
  </si>
  <si>
    <t>ns</t>
  </si>
  <si>
    <t> S.Dvorak </t>
  </si>
  <si>
    <t> JAAVSO 38;85 </t>
  </si>
  <si>
    <t>2453517.4066 </t>
  </si>
  <si>
    <t> 26.05.2005 21:45 </t>
  </si>
  <si>
    <t> 0.0070 </t>
  </si>
  <si>
    <t>-I</t>
  </si>
  <si>
    <t>BAVM 178 </t>
  </si>
  <si>
    <t>2453614.4541 </t>
  </si>
  <si>
    <t> 31.08.2005 22:53 </t>
  </si>
  <si>
    <t>24943</t>
  </si>
  <si>
    <t> 0.0096 </t>
  </si>
  <si>
    <t>2453664.688 </t>
  </si>
  <si>
    <t> 21.10.2005 04:30 </t>
  </si>
  <si>
    <t>25009</t>
  </si>
  <si>
    <t>?</t>
  </si>
  <si>
    <t> R.Nelson </t>
  </si>
  <si>
    <t>IBVS 5672 </t>
  </si>
  <si>
    <t>2453934.5086 </t>
  </si>
  <si>
    <t> 18.07.2006 00:12 </t>
  </si>
  <si>
    <t>25363.5</t>
  </si>
  <si>
    <t> 0.0064 </t>
  </si>
  <si>
    <t>BAVM 183 </t>
  </si>
  <si>
    <t>2453990.4529 </t>
  </si>
  <si>
    <t> 11.09.2006 22:52 </t>
  </si>
  <si>
    <t>25437</t>
  </si>
  <si>
    <t> 0.0071 </t>
  </si>
  <si>
    <t>2454245.4324 </t>
  </si>
  <si>
    <t> 24.05.2007 22:22 </t>
  </si>
  <si>
    <t>25772</t>
  </si>
  <si>
    <t> 0.0060 </t>
  </si>
  <si>
    <t>BAVM 186 </t>
  </si>
  <si>
    <t>2454352.7540 </t>
  </si>
  <si>
    <t> 09.09.2007 06:05 </t>
  </si>
  <si>
    <t>25913</t>
  </si>
  <si>
    <t> 0.0074 </t>
  </si>
  <si>
    <t>R</t>
  </si>
  <si>
    <t>IBVS 5820 </t>
  </si>
  <si>
    <t>2454600.5061 </t>
  </si>
  <si>
    <t> 14.05.2008 00:08 </t>
  </si>
  <si>
    <t>26238.5</t>
  </si>
  <si>
    <t> 0.0097 </t>
  </si>
  <si>
    <t>BAVM 201 </t>
  </si>
  <si>
    <t>2454720.3755 </t>
  </si>
  <si>
    <t> 10.09.2008 21:00 </t>
  </si>
  <si>
    <t>26396</t>
  </si>
  <si>
    <t> 0.0002 </t>
  </si>
  <si>
    <t> U.Schmidt </t>
  </si>
  <si>
    <t>BAVM 203 </t>
  </si>
  <si>
    <t>2454984.8749 </t>
  </si>
  <si>
    <t> 02.06.2009 08:59 </t>
  </si>
  <si>
    <t>26743.5</t>
  </si>
  <si>
    <t> 0.0047 </t>
  </si>
  <si>
    <t>IBVS 5929 </t>
  </si>
  <si>
    <t>2455042.3394 </t>
  </si>
  <si>
    <t> 29.07.2009 20:08 </t>
  </si>
  <si>
    <t>26819</t>
  </si>
  <si>
    <t> 0.0035 </t>
  </si>
  <si>
    <t> Y.Ogmen </t>
  </si>
  <si>
    <t>2455430.5199 </t>
  </si>
  <si>
    <t> 22.08.2010 00:28 </t>
  </si>
  <si>
    <t>27329</t>
  </si>
  <si>
    <t> 0.0045 </t>
  </si>
  <si>
    <t>BAVM 215 </t>
  </si>
  <si>
    <t>2455712.5228 </t>
  </si>
  <si>
    <t> 31.05.2011 00:32 </t>
  </si>
  <si>
    <t>27699.5</t>
  </si>
  <si>
    <t> 0.0065 </t>
  </si>
  <si>
    <t>BAVM 220 </t>
  </si>
  <si>
    <t>2456074.4383 </t>
  </si>
  <si>
    <t> 26.05.2012 22:31 </t>
  </si>
  <si>
    <t>28175</t>
  </si>
  <si>
    <t> 0.0017 </t>
  </si>
  <si>
    <t>BAVM 231 </t>
  </si>
  <si>
    <t>JBAV, 60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</si>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</sst>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"/>
  </numFmts>
  <fonts count="3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9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9" fillId="0" borderId="0" xfId="0" applyNumberFormat="1" applyFont="1" applyAlignment="1">
      <alignment horizontal="left" vertical="center"/>
    </xf>
    <xf numFmtId="0" fontId="10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172" fontId="0" fillId="0" borderId="0" xfId="0" applyNumberFormat="1" applyAlignment="1">
      <alignment horizontal="left"/>
    </xf>
    <xf numFmtId="0" fontId="18" fillId="0" borderId="0" xfId="0" applyFont="1">
      <alignment vertical="top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18" xfId="0" applyFont="1" applyBorder="1" applyAlignment="1">
      <alignment horizontal="left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177" fontId="38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V841 Cyg - O-C Diagr.</a:t>
            </a:r>
          </a:p>
        </c:rich>
      </c:tx>
      <c:layout>
        <c:manualLayout>
          <c:xMode val="edge"/>
          <c:yMode val="edge"/>
          <c:x val="0.3634898384067096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78942920199375"/>
          <c:w val="0.79967752902672617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1C-4A88-90C7-1260A2FD11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-9.5196700021915603E-3</c:v>
                </c:pt>
                <c:pt idx="1">
                  <c:v>3.730586999154184E-2</c:v>
                </c:pt>
                <c:pt idx="2">
                  <c:v>1.1761189991375431E-2</c:v>
                </c:pt>
                <c:pt idx="3">
                  <c:v>6.2592600006610155E-3</c:v>
                </c:pt>
                <c:pt idx="4">
                  <c:v>-9.323610007413663E-3</c:v>
                </c:pt>
                <c:pt idx="5">
                  <c:v>5.0193000060971826E-4</c:v>
                </c:pt>
                <c:pt idx="6">
                  <c:v>8.6892199979047291E-3</c:v>
                </c:pt>
                <c:pt idx="7">
                  <c:v>-1.587245000700932E-2</c:v>
                </c:pt>
                <c:pt idx="8">
                  <c:v>-3.1825540005229414E-2</c:v>
                </c:pt>
                <c:pt idx="9">
                  <c:v>-7.4553200029185973E-3</c:v>
                </c:pt>
                <c:pt idx="10">
                  <c:v>-3.8000000000465661E-2</c:v>
                </c:pt>
                <c:pt idx="11">
                  <c:v>-8.0893600024865009E-3</c:v>
                </c:pt>
                <c:pt idx="13">
                  <c:v>2.3370219991193153E-2</c:v>
                </c:pt>
                <c:pt idx="14">
                  <c:v>1.0787349994643591E-2</c:v>
                </c:pt>
                <c:pt idx="15">
                  <c:v>1.0242669995932374E-2</c:v>
                </c:pt>
                <c:pt idx="16">
                  <c:v>3.8384200015570968E-3</c:v>
                </c:pt>
                <c:pt idx="17">
                  <c:v>5.902319993765559E-3</c:v>
                </c:pt>
                <c:pt idx="18">
                  <c:v>-2.550193000206491E-2</c:v>
                </c:pt>
                <c:pt idx="19">
                  <c:v>-1.9306170004711021E-2</c:v>
                </c:pt>
                <c:pt idx="20">
                  <c:v>1.6009119994123466E-2</c:v>
                </c:pt>
                <c:pt idx="21">
                  <c:v>1.1464439994597342E-2</c:v>
                </c:pt>
                <c:pt idx="22">
                  <c:v>6.9197599950712174E-3</c:v>
                </c:pt>
                <c:pt idx="23">
                  <c:v>2.2375079992343672E-2</c:v>
                </c:pt>
                <c:pt idx="24">
                  <c:v>4.2006199946627021E-3</c:v>
                </c:pt>
                <c:pt idx="25">
                  <c:v>-2.2344060002069455E-2</c:v>
                </c:pt>
                <c:pt idx="26">
                  <c:v>4.2304899980081245E-3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1C-4A88-90C7-1260A2FD11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7">
                  <c:v>1.0799809992022347E-2</c:v>
                </c:pt>
                <c:pt idx="28">
                  <c:v>1.1938535004446749E-2</c:v>
                </c:pt>
                <c:pt idx="29">
                  <c:v>1.0355749996961094E-2</c:v>
                </c:pt>
                <c:pt idx="31">
                  <c:v>6.9733650016132742E-3</c:v>
                </c:pt>
                <c:pt idx="32">
                  <c:v>9.6116899949265644E-3</c:v>
                </c:pt>
                <c:pt idx="34">
                  <c:v>6.3522049968014471E-3</c:v>
                </c:pt>
                <c:pt idx="35">
                  <c:v>7.1437099904869683E-3</c:v>
                </c:pt>
                <c:pt idx="36">
                  <c:v>6.0267599983490072E-3</c:v>
                </c:pt>
                <c:pt idx="38">
                  <c:v>9.7034549980890006E-3</c:v>
                </c:pt>
                <c:pt idx="42">
                  <c:v>4.5100699935574085E-3</c:v>
                </c:pt>
                <c:pt idx="43">
                  <c:v>6.4590849942760542E-3</c:v>
                </c:pt>
                <c:pt idx="44">
                  <c:v>1.7102499987231568E-3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1C-4A88-90C7-1260A2FD11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0">
                  <c:v>8.2347599891363643E-3</c:v>
                </c:pt>
                <c:pt idx="33">
                  <c:v>8.633293880848214E-3</c:v>
                </c:pt>
                <c:pt idx="37">
                  <c:v>7.4267899981350638E-3</c:v>
                </c:pt>
                <c:pt idx="39">
                  <c:v>1.5667999832658097E-4</c:v>
                </c:pt>
                <c:pt idx="40">
                  <c:v>4.7376049988088198E-3</c:v>
                </c:pt>
                <c:pt idx="41">
                  <c:v>3.4567699913168326E-3</c:v>
                </c:pt>
                <c:pt idx="45">
                  <c:v>-8.0210000305669382E-4</c:v>
                </c:pt>
                <c:pt idx="46">
                  <c:v>6.425999163184315E-5</c:v>
                </c:pt>
                <c:pt idx="47">
                  <c:v>6.7006099998252466E-3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1C-4A88-90C7-1260A2FD11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1C-4A88-90C7-1260A2FD11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1C-4A88-90C7-1260A2FD11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1C-4A88-90C7-1260A2FD11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24">
                  <c:v>2.5874116670468864E-2</c:v>
                </c:pt>
                <c:pt idx="25">
                  <c:v>2.5870727988613881E-2</c:v>
                </c:pt>
                <c:pt idx="26">
                  <c:v>2.5544567360071609E-2</c:v>
                </c:pt>
                <c:pt idx="27">
                  <c:v>1.2155885351027341E-2</c:v>
                </c:pt>
                <c:pt idx="28">
                  <c:v>1.0455190645056931E-2</c:v>
                </c:pt>
                <c:pt idx="29">
                  <c:v>9.683841937816056E-3</c:v>
                </c:pt>
                <c:pt idx="30">
                  <c:v>8.5427033231499812E-3</c:v>
                </c:pt>
                <c:pt idx="31">
                  <c:v>7.3198127587324018E-3</c:v>
                </c:pt>
                <c:pt idx="32">
                  <c:v>7.2117985246047678E-3</c:v>
                </c:pt>
                <c:pt idx="33">
                  <c:v>7.1558852739975198E-3</c:v>
                </c:pt>
                <c:pt idx="34">
                  <c:v>6.8555633445995072E-3</c:v>
                </c:pt>
                <c:pt idx="35">
                  <c:v>6.7932963155141676E-3</c:v>
                </c:pt>
                <c:pt idx="36">
                  <c:v>6.5094942101592036E-3</c:v>
                </c:pt>
                <c:pt idx="37">
                  <c:v>6.3900431747709943E-3</c:v>
                </c:pt>
                <c:pt idx="38">
                  <c:v>6.11428918882162E-3</c:v>
                </c:pt>
                <c:pt idx="39">
                  <c:v>5.9808598407816022E-3</c:v>
                </c:pt>
                <c:pt idx="40">
                  <c:v>5.6864681046298118E-3</c:v>
                </c:pt>
                <c:pt idx="41">
                  <c:v>5.6225067346169777E-3</c:v>
                </c:pt>
                <c:pt idx="42">
                  <c:v>5.1904497981064383E-3</c:v>
                </c:pt>
                <c:pt idx="43">
                  <c:v>4.8765731412884865E-3</c:v>
                </c:pt>
                <c:pt idx="44">
                  <c:v>4.4737435857771894E-3</c:v>
                </c:pt>
                <c:pt idx="45">
                  <c:v>2.8175253291534523E-3</c:v>
                </c:pt>
                <c:pt idx="46">
                  <c:v>1.214678811745723E-3</c:v>
                </c:pt>
                <c:pt idx="47">
                  <c:v>4.9881976988021964E-4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1C-4A88-90C7-1260A2FD1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827016"/>
        <c:axId val="1"/>
      </c:scatterChart>
      <c:valAx>
        <c:axId val="506827016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82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V841 Cyg - O-C Diagr.</a:t>
            </a:r>
          </a:p>
        </c:rich>
      </c:tx>
      <c:layout>
        <c:manualLayout>
          <c:xMode val="edge"/>
          <c:yMode val="edge"/>
          <c:x val="0.362903225806451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A-4F41-A586-EBD8524E3CB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-9.5196700021915603E-3</c:v>
                </c:pt>
                <c:pt idx="1">
                  <c:v>3.730586999154184E-2</c:v>
                </c:pt>
                <c:pt idx="2">
                  <c:v>1.1761189991375431E-2</c:v>
                </c:pt>
                <c:pt idx="3">
                  <c:v>6.2592600006610155E-3</c:v>
                </c:pt>
                <c:pt idx="4">
                  <c:v>-9.323610007413663E-3</c:v>
                </c:pt>
                <c:pt idx="5">
                  <c:v>5.0193000060971826E-4</c:v>
                </c:pt>
                <c:pt idx="6">
                  <c:v>8.6892199979047291E-3</c:v>
                </c:pt>
                <c:pt idx="7">
                  <c:v>-1.587245000700932E-2</c:v>
                </c:pt>
                <c:pt idx="8">
                  <c:v>-3.1825540005229414E-2</c:v>
                </c:pt>
                <c:pt idx="9">
                  <c:v>-7.4553200029185973E-3</c:v>
                </c:pt>
                <c:pt idx="10">
                  <c:v>-3.8000000000465661E-2</c:v>
                </c:pt>
                <c:pt idx="11">
                  <c:v>-8.0893600024865009E-3</c:v>
                </c:pt>
                <c:pt idx="13">
                  <c:v>2.3370219991193153E-2</c:v>
                </c:pt>
                <c:pt idx="14">
                  <c:v>1.0787349994643591E-2</c:v>
                </c:pt>
                <c:pt idx="15">
                  <c:v>1.0242669995932374E-2</c:v>
                </c:pt>
                <c:pt idx="16">
                  <c:v>3.8384200015570968E-3</c:v>
                </c:pt>
                <c:pt idx="17">
                  <c:v>5.902319993765559E-3</c:v>
                </c:pt>
                <c:pt idx="18">
                  <c:v>-2.550193000206491E-2</c:v>
                </c:pt>
                <c:pt idx="19">
                  <c:v>-1.9306170004711021E-2</c:v>
                </c:pt>
                <c:pt idx="20">
                  <c:v>1.6009119994123466E-2</c:v>
                </c:pt>
                <c:pt idx="21">
                  <c:v>1.1464439994597342E-2</c:v>
                </c:pt>
                <c:pt idx="22">
                  <c:v>6.9197599950712174E-3</c:v>
                </c:pt>
                <c:pt idx="23">
                  <c:v>2.2375079992343672E-2</c:v>
                </c:pt>
                <c:pt idx="24">
                  <c:v>4.2006199946627021E-3</c:v>
                </c:pt>
                <c:pt idx="25">
                  <c:v>-2.2344060002069455E-2</c:v>
                </c:pt>
                <c:pt idx="26">
                  <c:v>4.2304899980081245E-3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A-4F41-A586-EBD8524E3CB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27">
                  <c:v>1.0799809992022347E-2</c:v>
                </c:pt>
                <c:pt idx="28">
                  <c:v>1.1938535004446749E-2</c:v>
                </c:pt>
                <c:pt idx="29">
                  <c:v>1.0355749996961094E-2</c:v>
                </c:pt>
                <c:pt idx="31">
                  <c:v>6.9733650016132742E-3</c:v>
                </c:pt>
                <c:pt idx="32">
                  <c:v>9.6116899949265644E-3</c:v>
                </c:pt>
                <c:pt idx="34">
                  <c:v>6.3522049968014471E-3</c:v>
                </c:pt>
                <c:pt idx="35">
                  <c:v>7.1437099904869683E-3</c:v>
                </c:pt>
                <c:pt idx="36">
                  <c:v>6.0267599983490072E-3</c:v>
                </c:pt>
                <c:pt idx="38">
                  <c:v>9.7034549980890006E-3</c:v>
                </c:pt>
                <c:pt idx="42">
                  <c:v>4.5100699935574085E-3</c:v>
                </c:pt>
                <c:pt idx="43">
                  <c:v>6.4590849942760542E-3</c:v>
                </c:pt>
                <c:pt idx="44">
                  <c:v>1.7102499987231568E-3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A-4F41-A586-EBD8524E3CB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30">
                  <c:v>8.2347599891363643E-3</c:v>
                </c:pt>
                <c:pt idx="33">
                  <c:v>8.633293880848214E-3</c:v>
                </c:pt>
                <c:pt idx="37">
                  <c:v>7.4267899981350638E-3</c:v>
                </c:pt>
                <c:pt idx="39">
                  <c:v>1.5667999832658097E-4</c:v>
                </c:pt>
                <c:pt idx="40">
                  <c:v>4.7376049988088198E-3</c:v>
                </c:pt>
                <c:pt idx="41">
                  <c:v>3.4567699913168326E-3</c:v>
                </c:pt>
                <c:pt idx="45">
                  <c:v>-8.0210000305669382E-4</c:v>
                </c:pt>
                <c:pt idx="46">
                  <c:v>6.425999163184315E-5</c:v>
                </c:pt>
                <c:pt idx="47">
                  <c:v>6.7006099998252466E-3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A-4F41-A586-EBD8524E3CB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CA-4F41-A586-EBD8524E3CB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CA-4F41-A586-EBD8524E3CB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4.0000000000000001E-3</c:v>
                  </c:pt>
                  <c:pt idx="29">
                    <c:v>8.9999999999999998E-4</c:v>
                  </c:pt>
                  <c:pt idx="30">
                    <c:v>2.9999999999999997E-4</c:v>
                  </c:pt>
                  <c:pt idx="31">
                    <c:v>2.7000000000000001E-3</c:v>
                  </c:pt>
                  <c:pt idx="32">
                    <c:v>1.5E-3</c:v>
                  </c:pt>
                  <c:pt idx="33">
                    <c:v>1E-3</c:v>
                  </c:pt>
                  <c:pt idx="34">
                    <c:v>6.9999999999999999E-4</c:v>
                  </c:pt>
                  <c:pt idx="35">
                    <c:v>6.9999999999999999E-4</c:v>
                  </c:pt>
                  <c:pt idx="36">
                    <c:v>1.1000000000000001E-3</c:v>
                  </c:pt>
                  <c:pt idx="37">
                    <c:v>1E-4</c:v>
                  </c:pt>
                  <c:pt idx="38">
                    <c:v>1.4E-3</c:v>
                  </c:pt>
                  <c:pt idx="39">
                    <c:v>0</c:v>
                  </c:pt>
                  <c:pt idx="40">
                    <c:v>4.0000000000000002E-4</c:v>
                  </c:pt>
                  <c:pt idx="41">
                    <c:v>2.0000000000000001E-4</c:v>
                  </c:pt>
                  <c:pt idx="42">
                    <c:v>1.8E-3</c:v>
                  </c:pt>
                  <c:pt idx="43">
                    <c:v>8.8000000000000005E-3</c:v>
                  </c:pt>
                  <c:pt idx="44">
                    <c:v>2.8E-3</c:v>
                  </c:pt>
                  <c:pt idx="45">
                    <c:v>4.0000000000000002E-4</c:v>
                  </c:pt>
                  <c:pt idx="46">
                    <c:v>1.5E-3</c:v>
                  </c:pt>
                  <c:pt idx="47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CA-4F41-A586-EBD8524E3CB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-2449</c:v>
                </c:pt>
                <c:pt idx="1">
                  <c:v>-2411</c:v>
                </c:pt>
                <c:pt idx="2">
                  <c:v>-2407</c:v>
                </c:pt>
                <c:pt idx="3">
                  <c:v>-1478</c:v>
                </c:pt>
                <c:pt idx="4">
                  <c:v>-967</c:v>
                </c:pt>
                <c:pt idx="5">
                  <c:v>-929</c:v>
                </c:pt>
                <c:pt idx="6">
                  <c:v>-666</c:v>
                </c:pt>
                <c:pt idx="7">
                  <c:v>-515</c:v>
                </c:pt>
                <c:pt idx="8">
                  <c:v>-38</c:v>
                </c:pt>
                <c:pt idx="9">
                  <c:v>-4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  <c:pt idx="13">
                  <c:v>34</c:v>
                </c:pt>
                <c:pt idx="14">
                  <c:v>545</c:v>
                </c:pt>
                <c:pt idx="15">
                  <c:v>549</c:v>
                </c:pt>
                <c:pt idx="16">
                  <c:v>574</c:v>
                </c:pt>
                <c:pt idx="17">
                  <c:v>904</c:v>
                </c:pt>
                <c:pt idx="18">
                  <c:v>929</c:v>
                </c:pt>
                <c:pt idx="19">
                  <c:v>1001</c:v>
                </c:pt>
                <c:pt idx="20">
                  <c:v>2864</c:v>
                </c:pt>
                <c:pt idx="21">
                  <c:v>2868</c:v>
                </c:pt>
                <c:pt idx="22">
                  <c:v>2872</c:v>
                </c:pt>
                <c:pt idx="23">
                  <c:v>2876</c:v>
                </c:pt>
                <c:pt idx="24">
                  <c:v>2914</c:v>
                </c:pt>
                <c:pt idx="25">
                  <c:v>2918</c:v>
                </c:pt>
                <c:pt idx="26">
                  <c:v>3303</c:v>
                </c:pt>
                <c:pt idx="27">
                  <c:v>19107</c:v>
                </c:pt>
                <c:pt idx="28">
                  <c:v>21114.5</c:v>
                </c:pt>
                <c:pt idx="29">
                  <c:v>22025</c:v>
                </c:pt>
                <c:pt idx="30">
                  <c:v>23372</c:v>
                </c:pt>
                <c:pt idx="31">
                  <c:v>24815.5</c:v>
                </c:pt>
                <c:pt idx="32">
                  <c:v>24943</c:v>
                </c:pt>
                <c:pt idx="33">
                  <c:v>25009</c:v>
                </c:pt>
                <c:pt idx="34">
                  <c:v>25363.5</c:v>
                </c:pt>
                <c:pt idx="35">
                  <c:v>25437</c:v>
                </c:pt>
                <c:pt idx="36">
                  <c:v>25772</c:v>
                </c:pt>
                <c:pt idx="37">
                  <c:v>25913</c:v>
                </c:pt>
                <c:pt idx="38">
                  <c:v>26238.5</c:v>
                </c:pt>
                <c:pt idx="39">
                  <c:v>26396</c:v>
                </c:pt>
                <c:pt idx="40">
                  <c:v>26743.5</c:v>
                </c:pt>
                <c:pt idx="41">
                  <c:v>26819</c:v>
                </c:pt>
                <c:pt idx="42">
                  <c:v>27329</c:v>
                </c:pt>
                <c:pt idx="43">
                  <c:v>27699.5</c:v>
                </c:pt>
                <c:pt idx="44">
                  <c:v>28175</c:v>
                </c:pt>
                <c:pt idx="45">
                  <c:v>30130</c:v>
                </c:pt>
                <c:pt idx="46">
                  <c:v>32022</c:v>
                </c:pt>
                <c:pt idx="47">
                  <c:v>32867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24">
                  <c:v>2.5874116670468864E-2</c:v>
                </c:pt>
                <c:pt idx="25">
                  <c:v>2.5870727988613881E-2</c:v>
                </c:pt>
                <c:pt idx="26">
                  <c:v>2.5544567360071609E-2</c:v>
                </c:pt>
                <c:pt idx="27">
                  <c:v>1.2155885351027341E-2</c:v>
                </c:pt>
                <c:pt idx="28">
                  <c:v>1.0455190645056931E-2</c:v>
                </c:pt>
                <c:pt idx="29">
                  <c:v>9.683841937816056E-3</c:v>
                </c:pt>
                <c:pt idx="30">
                  <c:v>8.5427033231499812E-3</c:v>
                </c:pt>
                <c:pt idx="31">
                  <c:v>7.3198127587324018E-3</c:v>
                </c:pt>
                <c:pt idx="32">
                  <c:v>7.2117985246047678E-3</c:v>
                </c:pt>
                <c:pt idx="33">
                  <c:v>7.1558852739975198E-3</c:v>
                </c:pt>
                <c:pt idx="34">
                  <c:v>6.8555633445995072E-3</c:v>
                </c:pt>
                <c:pt idx="35">
                  <c:v>6.7932963155141676E-3</c:v>
                </c:pt>
                <c:pt idx="36">
                  <c:v>6.5094942101592036E-3</c:v>
                </c:pt>
                <c:pt idx="37">
                  <c:v>6.3900431747709943E-3</c:v>
                </c:pt>
                <c:pt idx="38">
                  <c:v>6.11428918882162E-3</c:v>
                </c:pt>
                <c:pt idx="39">
                  <c:v>5.9808598407816022E-3</c:v>
                </c:pt>
                <c:pt idx="40">
                  <c:v>5.6864681046298118E-3</c:v>
                </c:pt>
                <c:pt idx="41">
                  <c:v>5.6225067346169777E-3</c:v>
                </c:pt>
                <c:pt idx="42">
                  <c:v>5.1904497981064383E-3</c:v>
                </c:pt>
                <c:pt idx="43">
                  <c:v>4.8765731412884865E-3</c:v>
                </c:pt>
                <c:pt idx="44">
                  <c:v>4.4737435857771894E-3</c:v>
                </c:pt>
                <c:pt idx="45">
                  <c:v>2.8175253291534523E-3</c:v>
                </c:pt>
                <c:pt idx="46">
                  <c:v>1.214678811745723E-3</c:v>
                </c:pt>
                <c:pt idx="47">
                  <c:v>4.9881976988021964E-4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CA-4F41-A586-EBD8524E3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549416"/>
        <c:axId val="1"/>
      </c:scatterChart>
      <c:valAx>
        <c:axId val="505549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5549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06451612903226"/>
          <c:y val="0.92073298764483702"/>
          <c:w val="0.67419354838709689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9525</xdr:rowOff>
    </xdr:from>
    <xdr:to>
      <xdr:col>16</xdr:col>
      <xdr:colOff>304800</xdr:colOff>
      <xdr:row>18</xdr:row>
      <xdr:rowOff>47625</xdr:rowOff>
    </xdr:to>
    <xdr:graphicFrame macro="">
      <xdr:nvGraphicFramePr>
        <xdr:cNvPr id="1037" name="Chart 1">
          <a:extLst>
            <a:ext uri="{FF2B5EF4-FFF2-40B4-BE49-F238E27FC236}">
              <a16:creationId xmlns:a16="http://schemas.microsoft.com/office/drawing/2014/main" id="{3E10679F-C053-2F56-448E-CA7F288FE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0</xdr:row>
      <xdr:rowOff>0</xdr:rowOff>
    </xdr:from>
    <xdr:to>
      <xdr:col>25</xdr:col>
      <xdr:colOff>495300</xdr:colOff>
      <xdr:row>18</xdr:row>
      <xdr:rowOff>47625</xdr:rowOff>
    </xdr:to>
    <xdr:graphicFrame macro="">
      <xdr:nvGraphicFramePr>
        <xdr:cNvPr id="1038" name="Chart 2">
          <a:extLst>
            <a:ext uri="{FF2B5EF4-FFF2-40B4-BE49-F238E27FC236}">
              <a16:creationId xmlns:a16="http://schemas.microsoft.com/office/drawing/2014/main" id="{E6200BF8-78B2-6570-A532-022E91E4F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3" TargetMode="External"/><Relationship Id="rId13" Type="http://schemas.openxmlformats.org/officeDocument/2006/relationships/hyperlink" Target="http://www.konkoly.hu/cgi-bin/IBVS?5929" TargetMode="External"/><Relationship Id="rId3" Type="http://schemas.openxmlformats.org/officeDocument/2006/relationships/hyperlink" Target="http://www.bav-astro.de/sfs/BAVM_link.php?BAVMnr=132" TargetMode="External"/><Relationship Id="rId7" Type="http://schemas.openxmlformats.org/officeDocument/2006/relationships/hyperlink" Target="http://www.bav-astro.de/sfs/BAVM_link.php?BAVMnr=183" TargetMode="External"/><Relationship Id="rId1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111" TargetMode="External"/><Relationship Id="rId16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konkoly.hu/cgi-bin/IBVS?5672" TargetMode="External"/><Relationship Id="rId11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konkoly.hu/cgi-bin/IBVS?5820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bav-astro.de/sfs/BAVM_link.php?BAVMnr=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workbookViewId="0">
      <pane xSplit="14" ySplit="22" topLeftCell="O56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</row>
    <row r="2" spans="1:6" x14ac:dyDescent="0.2">
      <c r="A2" t="s">
        <v>25</v>
      </c>
      <c r="B2" s="11" t="s">
        <v>30</v>
      </c>
    </row>
    <row r="4" spans="1:6" ht="14.25" thickTop="1" thickBot="1" x14ac:dyDescent="0.25">
      <c r="A4" s="7" t="s">
        <v>1</v>
      </c>
      <c r="C4" s="3">
        <v>34629.425000000003</v>
      </c>
      <c r="D4" s="4">
        <v>0.76113617</v>
      </c>
    </row>
    <row r="5" spans="1:6" ht="13.5" thickTop="1" x14ac:dyDescent="0.2">
      <c r="A5" s="17" t="s">
        <v>35</v>
      </c>
      <c r="B5" s="11"/>
      <c r="C5" s="18">
        <v>-9.5</v>
      </c>
      <c r="D5" s="11" t="s">
        <v>36</v>
      </c>
    </row>
    <row r="6" spans="1:6" x14ac:dyDescent="0.2">
      <c r="A6" s="7" t="s">
        <v>2</v>
      </c>
    </row>
    <row r="7" spans="1:6" x14ac:dyDescent="0.2">
      <c r="A7" t="s">
        <v>3</v>
      </c>
      <c r="C7">
        <f>+C4</f>
        <v>34629.425000000003</v>
      </c>
    </row>
    <row r="8" spans="1:6" x14ac:dyDescent="0.2">
      <c r="A8" t="s">
        <v>4</v>
      </c>
      <c r="C8">
        <f>+D4</f>
        <v>0.76113617</v>
      </c>
    </row>
    <row r="9" spans="1:6" x14ac:dyDescent="0.2">
      <c r="A9" s="33" t="s">
        <v>43</v>
      </c>
      <c r="B9" s="34">
        <v>49</v>
      </c>
      <c r="C9" s="32" t="str">
        <f>"F"&amp;B9</f>
        <v>F49</v>
      </c>
      <c r="D9" s="16" t="str">
        <f>"G"&amp;B9</f>
        <v>G49</v>
      </c>
    </row>
    <row r="10" spans="1:6" ht="13.5" thickBot="1" x14ac:dyDescent="0.25">
      <c r="A10" s="11"/>
      <c r="B10" s="11"/>
      <c r="C10" s="6" t="s">
        <v>21</v>
      </c>
      <c r="D10" s="6" t="s">
        <v>22</v>
      </c>
      <c r="E10" s="11"/>
    </row>
    <row r="11" spans="1:6" x14ac:dyDescent="0.2">
      <c r="A11" s="11" t="s">
        <v>17</v>
      </c>
      <c r="B11" s="11"/>
      <c r="C11" s="31">
        <f ca="1">INTERCEPT(INDIRECT($D$9):G990,INDIRECT($C$9):F990)</f>
        <v>2.8342771401825166E-2</v>
      </c>
      <c r="D11" s="5"/>
      <c r="E11" s="11"/>
    </row>
    <row r="12" spans="1:6" x14ac:dyDescent="0.2">
      <c r="A12" s="11" t="s">
        <v>18</v>
      </c>
      <c r="B12" s="11"/>
      <c r="C12" s="31">
        <f ca="1">SLOPE(INDIRECT($D$9):G990,INDIRECT($C$9):F990)</f>
        <v>-8.4717046374615717E-7</v>
      </c>
      <c r="D12" s="5"/>
      <c r="E12" s="11"/>
    </row>
    <row r="13" spans="1:6" x14ac:dyDescent="0.2">
      <c r="A13" s="11" t="s">
        <v>20</v>
      </c>
      <c r="B13" s="11"/>
      <c r="C13" s="5" t="s">
        <v>15</v>
      </c>
    </row>
    <row r="14" spans="1:6" x14ac:dyDescent="0.2">
      <c r="A14" s="11"/>
      <c r="B14" s="11"/>
      <c r="C14" s="11"/>
    </row>
    <row r="15" spans="1:6" x14ac:dyDescent="0.2">
      <c r="A15" s="19" t="s">
        <v>19</v>
      </c>
      <c r="B15" s="11"/>
      <c r="C15" s="20">
        <f ca="1">(C7+C11)+(C8+C12)*INT(MAX(F21:F3531))</f>
        <v>59645.687998209774</v>
      </c>
      <c r="E15" s="21" t="s">
        <v>48</v>
      </c>
      <c r="F15" s="18">
        <v>1</v>
      </c>
    </row>
    <row r="16" spans="1:6" x14ac:dyDescent="0.2">
      <c r="A16" s="23" t="s">
        <v>5</v>
      </c>
      <c r="B16" s="11"/>
      <c r="C16" s="24">
        <f ca="1">+C8+C12</f>
        <v>0.76113532282953622</v>
      </c>
      <c r="E16" s="21" t="s">
        <v>37</v>
      </c>
      <c r="F16" s="22">
        <f ca="1">NOW()+15018.5+$C$5/24</f>
        <v>59957.708954050926</v>
      </c>
    </row>
    <row r="17" spans="1:17" ht="13.5" thickBot="1" x14ac:dyDescent="0.25">
      <c r="A17" s="21" t="s">
        <v>32</v>
      </c>
      <c r="B17" s="11"/>
      <c r="C17" s="11">
        <f>COUNT(C21:C2189)</f>
        <v>48</v>
      </c>
      <c r="E17" s="21" t="s">
        <v>49</v>
      </c>
      <c r="F17" s="22">
        <f ca="1">ROUND(2*(F16-$C$7)/$C$8,0)/2+F15</f>
        <v>33278</v>
      </c>
    </row>
    <row r="18" spans="1:17" ht="14.25" thickTop="1" thickBot="1" x14ac:dyDescent="0.25">
      <c r="A18" s="23" t="s">
        <v>6</v>
      </c>
      <c r="B18" s="11"/>
      <c r="C18" s="26">
        <f ca="1">+C15</f>
        <v>59645.687998209774</v>
      </c>
      <c r="D18" s="27">
        <f ca="1">+C16</f>
        <v>0.76113532282953622</v>
      </c>
      <c r="E18" s="21" t="s">
        <v>38</v>
      </c>
      <c r="F18" s="16">
        <f ca="1">ROUND(2*(F16-$C$15)/$C$16,0)/2+F15</f>
        <v>411</v>
      </c>
    </row>
    <row r="19" spans="1:17" ht="13.5" thickTop="1" x14ac:dyDescent="0.2">
      <c r="E19" s="21" t="s">
        <v>39</v>
      </c>
      <c r="F19" s="25">
        <f ca="1">+$C$15+$C$16*F18-15018.5-$C$5/24</f>
        <v>44940.410449226052</v>
      </c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62</v>
      </c>
      <c r="I20" s="9" t="s">
        <v>65</v>
      </c>
      <c r="J20" s="9" t="s">
        <v>59</v>
      </c>
      <c r="K20" s="9" t="s">
        <v>57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 x14ac:dyDescent="0.2">
      <c r="A21" s="60" t="s">
        <v>71</v>
      </c>
      <c r="B21" s="61" t="s">
        <v>41</v>
      </c>
      <c r="C21" s="60">
        <v>32765.393</v>
      </c>
      <c r="D21" s="60" t="s">
        <v>65</v>
      </c>
      <c r="E21">
        <f t="shared" ref="E21:E65" si="0">+(C21-C$7)/C$8</f>
        <v>-2449.0125071838365</v>
      </c>
      <c r="F21">
        <f t="shared" ref="F21:F66" si="1">ROUND(2*E21,0)/2</f>
        <v>-2449</v>
      </c>
      <c r="G21">
        <f t="shared" ref="G21:G32" si="2">+C21-(C$7+F21*C$8)</f>
        <v>-9.5196700021915603E-3</v>
      </c>
      <c r="I21">
        <f t="shared" ref="I21:I32" si="3">+G21</f>
        <v>-9.5196700021915603E-3</v>
      </c>
      <c r="Q21" s="2">
        <f t="shared" ref="Q21:Q65" si="4">+C21-15018.5</f>
        <v>17746.893</v>
      </c>
    </row>
    <row r="22" spans="1:17" x14ac:dyDescent="0.2">
      <c r="A22" s="60" t="s">
        <v>71</v>
      </c>
      <c r="B22" s="61" t="s">
        <v>41</v>
      </c>
      <c r="C22" s="60">
        <v>32794.362999999998</v>
      </c>
      <c r="D22" s="60" t="s">
        <v>65</v>
      </c>
      <c r="E22">
        <f t="shared" si="0"/>
        <v>-2410.9509866020494</v>
      </c>
      <c r="F22">
        <f t="shared" si="1"/>
        <v>-2411</v>
      </c>
      <c r="G22">
        <f t="shared" si="2"/>
        <v>3.730586999154184E-2</v>
      </c>
      <c r="I22">
        <f t="shared" si="3"/>
        <v>3.730586999154184E-2</v>
      </c>
      <c r="Q22" s="2">
        <f t="shared" si="4"/>
        <v>17775.862999999998</v>
      </c>
    </row>
    <row r="23" spans="1:17" x14ac:dyDescent="0.2">
      <c r="A23" s="60" t="s">
        <v>71</v>
      </c>
      <c r="B23" s="61" t="s">
        <v>41</v>
      </c>
      <c r="C23" s="60">
        <v>32797.381999999998</v>
      </c>
      <c r="D23" s="60" t="s">
        <v>65</v>
      </c>
      <c r="E23">
        <f t="shared" si="0"/>
        <v>-2406.9845478503603</v>
      </c>
      <c r="F23">
        <f t="shared" si="1"/>
        <v>-2407</v>
      </c>
      <c r="G23">
        <f t="shared" si="2"/>
        <v>1.1761189991375431E-2</v>
      </c>
      <c r="I23">
        <f t="shared" si="3"/>
        <v>1.1761189991375431E-2</v>
      </c>
      <c r="Q23" s="2">
        <f t="shared" si="4"/>
        <v>17778.881999999998</v>
      </c>
    </row>
    <row r="24" spans="1:17" x14ac:dyDescent="0.2">
      <c r="A24" s="60" t="s">
        <v>71</v>
      </c>
      <c r="B24" s="61" t="s">
        <v>41</v>
      </c>
      <c r="C24" s="60">
        <v>33504.472000000002</v>
      </c>
      <c r="D24" s="60" t="s">
        <v>65</v>
      </c>
      <c r="E24">
        <f t="shared" si="0"/>
        <v>-1477.9917764254999</v>
      </c>
      <c r="F24">
        <f t="shared" si="1"/>
        <v>-1478</v>
      </c>
      <c r="G24">
        <f t="shared" si="2"/>
        <v>6.2592600006610155E-3</v>
      </c>
      <c r="I24">
        <f t="shared" si="3"/>
        <v>6.2592600006610155E-3</v>
      </c>
      <c r="Q24" s="2">
        <f t="shared" si="4"/>
        <v>18485.972000000002</v>
      </c>
    </row>
    <row r="25" spans="1:17" x14ac:dyDescent="0.2">
      <c r="A25" s="60" t="s">
        <v>71</v>
      </c>
      <c r="B25" s="61" t="s">
        <v>41</v>
      </c>
      <c r="C25" s="60">
        <v>33893.396999999997</v>
      </c>
      <c r="D25" s="60" t="s">
        <v>65</v>
      </c>
      <c r="E25">
        <f t="shared" si="0"/>
        <v>-967.01224959524086</v>
      </c>
      <c r="F25">
        <f t="shared" si="1"/>
        <v>-967</v>
      </c>
      <c r="G25">
        <f t="shared" si="2"/>
        <v>-9.323610007413663E-3</v>
      </c>
      <c r="I25">
        <f t="shared" si="3"/>
        <v>-9.323610007413663E-3</v>
      </c>
      <c r="Q25" s="2">
        <f t="shared" si="4"/>
        <v>18874.896999999997</v>
      </c>
    </row>
    <row r="26" spans="1:17" x14ac:dyDescent="0.2">
      <c r="A26" s="60" t="s">
        <v>71</v>
      </c>
      <c r="B26" s="61" t="s">
        <v>41</v>
      </c>
      <c r="C26" s="60">
        <v>33922.33</v>
      </c>
      <c r="D26" s="60" t="s">
        <v>65</v>
      </c>
      <c r="E26">
        <f t="shared" si="0"/>
        <v>-928.99934055164022</v>
      </c>
      <c r="F26">
        <f t="shared" si="1"/>
        <v>-929</v>
      </c>
      <c r="G26">
        <f t="shared" si="2"/>
        <v>5.0193000060971826E-4</v>
      </c>
      <c r="I26">
        <f t="shared" si="3"/>
        <v>5.0193000060971826E-4</v>
      </c>
      <c r="Q26" s="2">
        <f t="shared" si="4"/>
        <v>18903.830000000002</v>
      </c>
    </row>
    <row r="27" spans="1:17" x14ac:dyDescent="0.2">
      <c r="A27" s="60" t="s">
        <v>71</v>
      </c>
      <c r="B27" s="61" t="s">
        <v>41</v>
      </c>
      <c r="C27" s="60">
        <v>34122.517</v>
      </c>
      <c r="D27" s="60" t="s">
        <v>65</v>
      </c>
      <c r="E27">
        <f t="shared" si="0"/>
        <v>-665.98858388243866</v>
      </c>
      <c r="F27">
        <f t="shared" si="1"/>
        <v>-666</v>
      </c>
      <c r="G27">
        <f t="shared" si="2"/>
        <v>8.6892199979047291E-3</v>
      </c>
      <c r="I27">
        <f t="shared" si="3"/>
        <v>8.6892199979047291E-3</v>
      </c>
      <c r="Q27" s="2">
        <f t="shared" si="4"/>
        <v>19104.017</v>
      </c>
    </row>
    <row r="28" spans="1:17" x14ac:dyDescent="0.2">
      <c r="A28" s="60" t="s">
        <v>71</v>
      </c>
      <c r="B28" s="61" t="s">
        <v>41</v>
      </c>
      <c r="C28" s="60">
        <v>34237.423999999999</v>
      </c>
      <c r="D28" s="60" t="s">
        <v>65</v>
      </c>
      <c r="E28">
        <f t="shared" si="0"/>
        <v>-515.02085362728701</v>
      </c>
      <c r="F28">
        <f t="shared" si="1"/>
        <v>-515</v>
      </c>
      <c r="G28">
        <f t="shared" si="2"/>
        <v>-1.587245000700932E-2</v>
      </c>
      <c r="I28">
        <f t="shared" si="3"/>
        <v>-1.587245000700932E-2</v>
      </c>
      <c r="Q28" s="2">
        <f t="shared" si="4"/>
        <v>19218.923999999999</v>
      </c>
    </row>
    <row r="29" spans="1:17" x14ac:dyDescent="0.2">
      <c r="A29" s="60" t="s">
        <v>71</v>
      </c>
      <c r="B29" s="61" t="s">
        <v>41</v>
      </c>
      <c r="C29" s="60">
        <v>34600.47</v>
      </c>
      <c r="D29" s="60" t="s">
        <v>65</v>
      </c>
      <c r="E29">
        <f t="shared" si="0"/>
        <v>-38.041813201442977</v>
      </c>
      <c r="F29">
        <f t="shared" si="1"/>
        <v>-38</v>
      </c>
      <c r="G29">
        <f t="shared" si="2"/>
        <v>-3.1825540005229414E-2</v>
      </c>
      <c r="I29">
        <f t="shared" si="3"/>
        <v>-3.1825540005229414E-2</v>
      </c>
      <c r="Q29" s="2">
        <f t="shared" si="4"/>
        <v>19581.97</v>
      </c>
    </row>
    <row r="30" spans="1:17" x14ac:dyDescent="0.2">
      <c r="A30" s="60" t="s">
        <v>71</v>
      </c>
      <c r="B30" s="61" t="s">
        <v>41</v>
      </c>
      <c r="C30" s="62">
        <v>34626.373</v>
      </c>
      <c r="D30" s="62" t="s">
        <v>65</v>
      </c>
      <c r="E30">
        <f t="shared" si="0"/>
        <v>-4.0097949884622066</v>
      </c>
      <c r="F30">
        <f t="shared" si="1"/>
        <v>-4</v>
      </c>
      <c r="G30">
        <f t="shared" si="2"/>
        <v>-7.4553200029185973E-3</v>
      </c>
      <c r="I30">
        <f t="shared" si="3"/>
        <v>-7.4553200029185973E-3</v>
      </c>
      <c r="Q30" s="2">
        <f t="shared" si="4"/>
        <v>19607.873</v>
      </c>
    </row>
    <row r="31" spans="1:17" x14ac:dyDescent="0.2">
      <c r="A31" s="60" t="s">
        <v>71</v>
      </c>
      <c r="B31" s="61" t="s">
        <v>41</v>
      </c>
      <c r="C31" s="60">
        <v>34629.387000000002</v>
      </c>
      <c r="D31" s="60" t="s">
        <v>65</v>
      </c>
      <c r="E31">
        <f t="shared" si="0"/>
        <v>-4.9925363552839254E-2</v>
      </c>
      <c r="F31">
        <f t="shared" si="1"/>
        <v>0</v>
      </c>
      <c r="G31">
        <f t="shared" si="2"/>
        <v>-3.8000000000465661E-2</v>
      </c>
      <c r="I31">
        <f t="shared" si="3"/>
        <v>-3.8000000000465661E-2</v>
      </c>
      <c r="Q31" s="2">
        <f t="shared" si="4"/>
        <v>19610.887000000002</v>
      </c>
    </row>
    <row r="32" spans="1:17" x14ac:dyDescent="0.2">
      <c r="A32" s="60" t="s">
        <v>71</v>
      </c>
      <c r="B32" s="61" t="s">
        <v>41</v>
      </c>
      <c r="C32" s="60">
        <v>34635.506000000001</v>
      </c>
      <c r="D32" s="60" t="s">
        <v>65</v>
      </c>
      <c r="E32">
        <f t="shared" si="0"/>
        <v>7.9893719937108125</v>
      </c>
      <c r="F32">
        <f t="shared" si="1"/>
        <v>8</v>
      </c>
      <c r="G32">
        <f t="shared" si="2"/>
        <v>-8.0893600024865009E-3</v>
      </c>
      <c r="I32">
        <f t="shared" si="3"/>
        <v>-8.0893600024865009E-3</v>
      </c>
      <c r="Q32" s="2">
        <f t="shared" si="4"/>
        <v>19617.006000000001</v>
      </c>
    </row>
    <row r="33" spans="1:17" x14ac:dyDescent="0.2">
      <c r="A33" t="s">
        <v>13</v>
      </c>
      <c r="C33" s="13">
        <v>34629.425000000003</v>
      </c>
      <c r="D33" s="13" t="s">
        <v>15</v>
      </c>
      <c r="E33">
        <f t="shared" si="0"/>
        <v>0</v>
      </c>
      <c r="F33">
        <f t="shared" si="1"/>
        <v>0</v>
      </c>
      <c r="H33" s="16">
        <v>0</v>
      </c>
      <c r="Q33" s="2">
        <f t="shared" si="4"/>
        <v>19610.925000000003</v>
      </c>
    </row>
    <row r="34" spans="1:17" x14ac:dyDescent="0.2">
      <c r="A34" s="60" t="s">
        <v>71</v>
      </c>
      <c r="B34" s="61" t="s">
        <v>41</v>
      </c>
      <c r="C34" s="60">
        <v>34655.326999999997</v>
      </c>
      <c r="D34" s="60" t="s">
        <v>65</v>
      </c>
      <c r="E34">
        <f t="shared" si="0"/>
        <v>34.030704387619089</v>
      </c>
      <c r="F34">
        <f t="shared" si="1"/>
        <v>34</v>
      </c>
      <c r="G34">
        <f t="shared" ref="G34:G65" si="5">+C34-(C$7+F34*C$8)</f>
        <v>2.3370219991193153E-2</v>
      </c>
      <c r="I34">
        <f t="shared" ref="I34:I47" si="6">+G34</f>
        <v>2.3370219991193153E-2</v>
      </c>
      <c r="Q34" s="2">
        <f t="shared" si="4"/>
        <v>19636.826999999997</v>
      </c>
    </row>
    <row r="35" spans="1:17" x14ac:dyDescent="0.2">
      <c r="A35" s="60" t="s">
        <v>71</v>
      </c>
      <c r="B35" s="61" t="s">
        <v>41</v>
      </c>
      <c r="C35" s="60">
        <v>35044.254999999997</v>
      </c>
      <c r="D35" s="60" t="s">
        <v>65</v>
      </c>
      <c r="E35">
        <f t="shared" si="0"/>
        <v>545.0141726939537</v>
      </c>
      <c r="F35">
        <f t="shared" si="1"/>
        <v>545</v>
      </c>
      <c r="G35">
        <f t="shared" si="5"/>
        <v>1.0787349994643591E-2</v>
      </c>
      <c r="I35">
        <f t="shared" si="6"/>
        <v>1.0787349994643591E-2</v>
      </c>
      <c r="Q35" s="2">
        <f t="shared" si="4"/>
        <v>20025.754999999997</v>
      </c>
    </row>
    <row r="36" spans="1:17" x14ac:dyDescent="0.2">
      <c r="A36" s="60" t="s">
        <v>71</v>
      </c>
      <c r="B36" s="61" t="s">
        <v>41</v>
      </c>
      <c r="C36" s="60">
        <v>35047.298999999999</v>
      </c>
      <c r="D36" s="60" t="s">
        <v>65</v>
      </c>
      <c r="E36">
        <f t="shared" si="0"/>
        <v>549.01345707956057</v>
      </c>
      <c r="F36">
        <f t="shared" si="1"/>
        <v>549</v>
      </c>
      <c r="G36">
        <f t="shared" si="5"/>
        <v>1.0242669995932374E-2</v>
      </c>
      <c r="I36">
        <f t="shared" si="6"/>
        <v>1.0242669995932374E-2</v>
      </c>
      <c r="Q36" s="2">
        <f t="shared" si="4"/>
        <v>20028.798999999999</v>
      </c>
    </row>
    <row r="37" spans="1:17" x14ac:dyDescent="0.2">
      <c r="A37" s="60" t="s">
        <v>71</v>
      </c>
      <c r="B37" s="61" t="s">
        <v>41</v>
      </c>
      <c r="C37" s="60">
        <v>35066.321000000004</v>
      </c>
      <c r="D37" s="60" t="s">
        <v>65</v>
      </c>
      <c r="E37">
        <f t="shared" si="0"/>
        <v>574.00504301352623</v>
      </c>
      <c r="F37">
        <f t="shared" si="1"/>
        <v>574</v>
      </c>
      <c r="G37">
        <f t="shared" si="5"/>
        <v>3.8384200015570968E-3</v>
      </c>
      <c r="I37">
        <f t="shared" si="6"/>
        <v>3.8384200015570968E-3</v>
      </c>
      <c r="Q37" s="2">
        <f t="shared" si="4"/>
        <v>20047.821000000004</v>
      </c>
    </row>
    <row r="38" spans="1:17" x14ac:dyDescent="0.2">
      <c r="A38" s="60" t="s">
        <v>71</v>
      </c>
      <c r="B38" s="61" t="s">
        <v>41</v>
      </c>
      <c r="C38" s="60">
        <v>35317.498</v>
      </c>
      <c r="D38" s="60" t="s">
        <v>65</v>
      </c>
      <c r="E38">
        <f t="shared" si="0"/>
        <v>904.00775461767466</v>
      </c>
      <c r="F38">
        <f t="shared" si="1"/>
        <v>904</v>
      </c>
      <c r="G38">
        <f t="shared" si="5"/>
        <v>5.902319993765559E-3</v>
      </c>
      <c r="I38">
        <f t="shared" si="6"/>
        <v>5.902319993765559E-3</v>
      </c>
      <c r="Q38" s="2">
        <f t="shared" si="4"/>
        <v>20298.998</v>
      </c>
    </row>
    <row r="39" spans="1:17" x14ac:dyDescent="0.2">
      <c r="A39" s="60" t="s">
        <v>71</v>
      </c>
      <c r="B39" s="61" t="s">
        <v>41</v>
      </c>
      <c r="C39" s="60">
        <v>35336.495000000003</v>
      </c>
      <c r="D39" s="60" t="s">
        <v>65</v>
      </c>
      <c r="E39">
        <f t="shared" si="0"/>
        <v>928.96649491772246</v>
      </c>
      <c r="F39">
        <f t="shared" si="1"/>
        <v>929</v>
      </c>
      <c r="G39">
        <f t="shared" si="5"/>
        <v>-2.550193000206491E-2</v>
      </c>
      <c r="I39">
        <f t="shared" si="6"/>
        <v>-2.550193000206491E-2</v>
      </c>
      <c r="Q39" s="2">
        <f t="shared" si="4"/>
        <v>20317.995000000003</v>
      </c>
    </row>
    <row r="40" spans="1:17" x14ac:dyDescent="0.2">
      <c r="A40" s="60" t="s">
        <v>71</v>
      </c>
      <c r="B40" s="61" t="s">
        <v>41</v>
      </c>
      <c r="C40" s="60">
        <v>35391.303</v>
      </c>
      <c r="D40" s="60" t="s">
        <v>65</v>
      </c>
      <c r="E40">
        <f t="shared" si="0"/>
        <v>1000.9746350643105</v>
      </c>
      <c r="F40">
        <f t="shared" si="1"/>
        <v>1001</v>
      </c>
      <c r="G40">
        <f t="shared" si="5"/>
        <v>-1.9306170004711021E-2</v>
      </c>
      <c r="I40">
        <f t="shared" si="6"/>
        <v>-1.9306170004711021E-2</v>
      </c>
      <c r="Q40" s="2">
        <f t="shared" si="4"/>
        <v>20372.803</v>
      </c>
    </row>
    <row r="41" spans="1:17" x14ac:dyDescent="0.2">
      <c r="A41" s="60" t="s">
        <v>71</v>
      </c>
      <c r="B41" s="61" t="s">
        <v>41</v>
      </c>
      <c r="C41" s="60">
        <v>36809.334999999999</v>
      </c>
      <c r="D41" s="60" t="s">
        <v>65</v>
      </c>
      <c r="E41">
        <f t="shared" si="0"/>
        <v>2864.0210331877884</v>
      </c>
      <c r="F41">
        <f t="shared" si="1"/>
        <v>2864</v>
      </c>
      <c r="G41">
        <f t="shared" si="5"/>
        <v>1.6009119994123466E-2</v>
      </c>
      <c r="I41">
        <f t="shared" si="6"/>
        <v>1.6009119994123466E-2</v>
      </c>
      <c r="Q41" s="2">
        <f t="shared" si="4"/>
        <v>21790.834999999999</v>
      </c>
    </row>
    <row r="42" spans="1:17" x14ac:dyDescent="0.2">
      <c r="A42" s="60" t="s">
        <v>71</v>
      </c>
      <c r="B42" s="61" t="s">
        <v>41</v>
      </c>
      <c r="C42" s="60">
        <v>36812.375</v>
      </c>
      <c r="D42" s="60" t="s">
        <v>65</v>
      </c>
      <c r="E42">
        <f t="shared" si="0"/>
        <v>2868.015062271968</v>
      </c>
      <c r="F42">
        <f t="shared" si="1"/>
        <v>2868</v>
      </c>
      <c r="G42">
        <f t="shared" si="5"/>
        <v>1.1464439994597342E-2</v>
      </c>
      <c r="I42">
        <f t="shared" si="6"/>
        <v>1.1464439994597342E-2</v>
      </c>
      <c r="Q42" s="2">
        <f t="shared" si="4"/>
        <v>21793.875</v>
      </c>
    </row>
    <row r="43" spans="1:17" x14ac:dyDescent="0.2">
      <c r="A43" s="60" t="s">
        <v>71</v>
      </c>
      <c r="B43" s="61" t="s">
        <v>41</v>
      </c>
      <c r="C43" s="60">
        <v>36815.415000000001</v>
      </c>
      <c r="D43" s="60" t="s">
        <v>65</v>
      </c>
      <c r="E43">
        <f t="shared" si="0"/>
        <v>2872.0090913561471</v>
      </c>
      <c r="F43">
        <f t="shared" si="1"/>
        <v>2872</v>
      </c>
      <c r="G43">
        <f t="shared" si="5"/>
        <v>6.9197599950712174E-3</v>
      </c>
      <c r="I43">
        <f t="shared" si="6"/>
        <v>6.9197599950712174E-3</v>
      </c>
      <c r="Q43" s="2">
        <f t="shared" si="4"/>
        <v>21796.915000000001</v>
      </c>
    </row>
    <row r="44" spans="1:17" x14ac:dyDescent="0.2">
      <c r="A44" s="60" t="s">
        <v>71</v>
      </c>
      <c r="B44" s="61" t="s">
        <v>41</v>
      </c>
      <c r="C44" s="60">
        <v>36818.474999999999</v>
      </c>
      <c r="D44" s="60" t="s">
        <v>65</v>
      </c>
      <c r="E44">
        <f t="shared" si="0"/>
        <v>2876.0293969474551</v>
      </c>
      <c r="F44">
        <f t="shared" si="1"/>
        <v>2876</v>
      </c>
      <c r="G44">
        <f t="shared" si="5"/>
        <v>2.2375079992343672E-2</v>
      </c>
      <c r="I44">
        <f t="shared" si="6"/>
        <v>2.2375079992343672E-2</v>
      </c>
      <c r="Q44" s="2">
        <f t="shared" si="4"/>
        <v>21799.974999999999</v>
      </c>
    </row>
    <row r="45" spans="1:17" x14ac:dyDescent="0.2">
      <c r="A45" s="60" t="s">
        <v>71</v>
      </c>
      <c r="B45" s="61" t="s">
        <v>41</v>
      </c>
      <c r="C45" s="60">
        <v>36847.379999999997</v>
      </c>
      <c r="D45" s="60" t="s">
        <v>65</v>
      </c>
      <c r="E45">
        <f t="shared" si="0"/>
        <v>2914.0055188810625</v>
      </c>
      <c r="F45">
        <f t="shared" si="1"/>
        <v>2914</v>
      </c>
      <c r="G45">
        <f t="shared" si="5"/>
        <v>4.2006199946627021E-3</v>
      </c>
      <c r="I45">
        <f t="shared" si="6"/>
        <v>4.2006199946627021E-3</v>
      </c>
      <c r="O45">
        <f t="shared" ref="O45:O64" ca="1" si="7">+C$11+C$12*$F45</f>
        <v>2.5874116670468864E-2</v>
      </c>
      <c r="Q45" s="2">
        <f t="shared" si="4"/>
        <v>21828.879999999997</v>
      </c>
    </row>
    <row r="46" spans="1:17" x14ac:dyDescent="0.2">
      <c r="A46" s="60" t="s">
        <v>71</v>
      </c>
      <c r="B46" s="61" t="s">
        <v>41</v>
      </c>
      <c r="C46" s="60">
        <v>36850.398000000001</v>
      </c>
      <c r="D46" s="60" t="s">
        <v>65</v>
      </c>
      <c r="E46">
        <f t="shared" si="0"/>
        <v>2917.9706438073995</v>
      </c>
      <c r="F46">
        <f t="shared" si="1"/>
        <v>2918</v>
      </c>
      <c r="G46">
        <f t="shared" si="5"/>
        <v>-2.2344060002069455E-2</v>
      </c>
      <c r="I46">
        <f t="shared" si="6"/>
        <v>-2.2344060002069455E-2</v>
      </c>
      <c r="O46">
        <f t="shared" ca="1" si="7"/>
        <v>2.5870727988613881E-2</v>
      </c>
      <c r="Q46" s="2">
        <f t="shared" si="4"/>
        <v>21831.898000000001</v>
      </c>
    </row>
    <row r="47" spans="1:17" x14ac:dyDescent="0.2">
      <c r="A47" s="60" t="s">
        <v>71</v>
      </c>
      <c r="B47" s="61" t="s">
        <v>41</v>
      </c>
      <c r="C47" s="60">
        <v>37143.462</v>
      </c>
      <c r="D47" s="60" t="s">
        <v>65</v>
      </c>
      <c r="E47">
        <f t="shared" si="0"/>
        <v>3303.0055581250285</v>
      </c>
      <c r="F47">
        <f t="shared" si="1"/>
        <v>3303</v>
      </c>
      <c r="G47">
        <f t="shared" si="5"/>
        <v>4.2304899980081245E-3</v>
      </c>
      <c r="I47">
        <f t="shared" si="6"/>
        <v>4.2304899980081245E-3</v>
      </c>
      <c r="O47">
        <f t="shared" ca="1" si="7"/>
        <v>2.5544567360071609E-2</v>
      </c>
      <c r="Q47" s="2">
        <f t="shared" si="4"/>
        <v>22124.962</v>
      </c>
    </row>
    <row r="48" spans="1:17" x14ac:dyDescent="0.2">
      <c r="A48" s="60" t="s">
        <v>149</v>
      </c>
      <c r="B48" s="61" t="s">
        <v>41</v>
      </c>
      <c r="C48" s="60">
        <v>49172.464599999999</v>
      </c>
      <c r="D48" s="60" t="s">
        <v>65</v>
      </c>
      <c r="E48">
        <f t="shared" si="0"/>
        <v>19107.014189064219</v>
      </c>
      <c r="F48">
        <f t="shared" si="1"/>
        <v>19107</v>
      </c>
      <c r="G48">
        <f t="shared" si="5"/>
        <v>1.0799809992022347E-2</v>
      </c>
      <c r="J48">
        <f>+G48</f>
        <v>1.0799809992022347E-2</v>
      </c>
      <c r="O48">
        <f t="shared" ca="1" si="7"/>
        <v>1.2155885351027341E-2</v>
      </c>
      <c r="Q48" s="2">
        <f t="shared" si="4"/>
        <v>34153.964599999999</v>
      </c>
    </row>
    <row r="49" spans="1:17" x14ac:dyDescent="0.2">
      <c r="A49" s="35" t="s">
        <v>44</v>
      </c>
      <c r="B49" s="36" t="s">
        <v>34</v>
      </c>
      <c r="C49" s="35">
        <v>50700.446600000003</v>
      </c>
      <c r="D49" s="35">
        <v>4.0000000000000001E-3</v>
      </c>
      <c r="E49">
        <f t="shared" si="0"/>
        <v>21114.515685150003</v>
      </c>
      <c r="F49">
        <f t="shared" si="1"/>
        <v>21114.5</v>
      </c>
      <c r="G49">
        <f t="shared" si="5"/>
        <v>1.1938535004446749E-2</v>
      </c>
      <c r="J49">
        <f>+G49</f>
        <v>1.1938535004446749E-2</v>
      </c>
      <c r="O49">
        <f t="shared" ca="1" si="7"/>
        <v>1.0455190645056931E-2</v>
      </c>
      <c r="Q49" s="2">
        <f t="shared" si="4"/>
        <v>35681.946600000003</v>
      </c>
    </row>
    <row r="50" spans="1:17" x14ac:dyDescent="0.2">
      <c r="A50" s="12" t="s">
        <v>29</v>
      </c>
      <c r="B50" s="10"/>
      <c r="C50" s="15">
        <v>51393.459499999997</v>
      </c>
      <c r="D50" s="15">
        <v>8.9999999999999998E-4</v>
      </c>
      <c r="E50">
        <f t="shared" si="0"/>
        <v>22025.013605646931</v>
      </c>
      <c r="F50">
        <f t="shared" si="1"/>
        <v>22025</v>
      </c>
      <c r="G50">
        <f t="shared" si="5"/>
        <v>1.0355749996961094E-2</v>
      </c>
      <c r="J50">
        <f>+G50</f>
        <v>1.0355749996961094E-2</v>
      </c>
      <c r="O50">
        <f t="shared" ca="1" si="7"/>
        <v>9.683841937816056E-3</v>
      </c>
      <c r="Q50" s="2">
        <f t="shared" si="4"/>
        <v>36374.959499999997</v>
      </c>
    </row>
    <row r="51" spans="1:17" x14ac:dyDescent="0.2">
      <c r="A51" s="43" t="s">
        <v>51</v>
      </c>
      <c r="B51" s="38" t="s">
        <v>41</v>
      </c>
      <c r="C51" s="37">
        <v>52418.707799999996</v>
      </c>
      <c r="D51" s="37">
        <v>2.9999999999999997E-4</v>
      </c>
      <c r="E51">
        <f t="shared" si="0"/>
        <v>23372.010819036484</v>
      </c>
      <c r="F51">
        <f t="shared" si="1"/>
        <v>23372</v>
      </c>
      <c r="G51">
        <f t="shared" si="5"/>
        <v>8.2347599891363643E-3</v>
      </c>
      <c r="K51">
        <f>+G51</f>
        <v>8.2347599891363643E-3</v>
      </c>
      <c r="O51">
        <f t="shared" ca="1" si="7"/>
        <v>8.5427033231499812E-3</v>
      </c>
      <c r="Q51" s="2">
        <f t="shared" si="4"/>
        <v>37400.207799999996</v>
      </c>
    </row>
    <row r="52" spans="1:17" x14ac:dyDescent="0.2">
      <c r="A52" s="11" t="s">
        <v>33</v>
      </c>
      <c r="B52" s="5" t="s">
        <v>34</v>
      </c>
      <c r="C52" s="13">
        <v>53517.406600000002</v>
      </c>
      <c r="D52" s="13">
        <v>2.7000000000000001E-3</v>
      </c>
      <c r="E52">
        <f t="shared" si="0"/>
        <v>24815.509161783757</v>
      </c>
      <c r="F52">
        <f t="shared" si="1"/>
        <v>24815.5</v>
      </c>
      <c r="G52">
        <f t="shared" si="5"/>
        <v>6.9733650016132742E-3</v>
      </c>
      <c r="J52">
        <f>+G52</f>
        <v>6.9733650016132742E-3</v>
      </c>
      <c r="O52">
        <f t="shared" ca="1" si="7"/>
        <v>7.3198127587324018E-3</v>
      </c>
      <c r="Q52" s="2">
        <f t="shared" si="4"/>
        <v>38498.906600000002</v>
      </c>
    </row>
    <row r="53" spans="1:17" x14ac:dyDescent="0.2">
      <c r="A53" s="11" t="s">
        <v>33</v>
      </c>
      <c r="B53" s="14"/>
      <c r="C53" s="13">
        <v>53614.454100000003</v>
      </c>
      <c r="D53" s="13">
        <v>1.5E-3</v>
      </c>
      <c r="E53">
        <f t="shared" si="0"/>
        <v>24943.01262808204</v>
      </c>
      <c r="F53">
        <f t="shared" si="1"/>
        <v>24943</v>
      </c>
      <c r="G53">
        <f t="shared" si="5"/>
        <v>9.6116899949265644E-3</v>
      </c>
      <c r="J53">
        <f>+G53</f>
        <v>9.6116899949265644E-3</v>
      </c>
      <c r="O53">
        <f t="shared" ca="1" si="7"/>
        <v>7.2117985246047678E-3</v>
      </c>
      <c r="Q53" s="2">
        <f t="shared" si="4"/>
        <v>38595.954100000003</v>
      </c>
    </row>
    <row r="54" spans="1:17" x14ac:dyDescent="0.2">
      <c r="A54" s="7" t="s">
        <v>31</v>
      </c>
      <c r="C54" s="13">
        <v>53664.688108823888</v>
      </c>
      <c r="D54" s="13">
        <v>1E-3</v>
      </c>
      <c r="E54">
        <f t="shared" si="0"/>
        <v>25009.011342640417</v>
      </c>
      <c r="F54">
        <f t="shared" si="1"/>
        <v>25009</v>
      </c>
      <c r="G54">
        <f t="shared" si="5"/>
        <v>8.633293880848214E-3</v>
      </c>
      <c r="K54">
        <f>+G54</f>
        <v>8.633293880848214E-3</v>
      </c>
      <c r="O54">
        <f t="shared" ca="1" si="7"/>
        <v>7.1558852739975198E-3</v>
      </c>
      <c r="Q54" s="2">
        <f t="shared" si="4"/>
        <v>38646.188108823888</v>
      </c>
    </row>
    <row r="55" spans="1:17" x14ac:dyDescent="0.2">
      <c r="A55" s="28" t="s">
        <v>40</v>
      </c>
      <c r="B55" s="5" t="s">
        <v>34</v>
      </c>
      <c r="C55" s="13">
        <v>53934.508600000001</v>
      </c>
      <c r="D55" s="13">
        <v>6.9999999999999999E-4</v>
      </c>
      <c r="E55">
        <f t="shared" si="0"/>
        <v>25363.508345687998</v>
      </c>
      <c r="F55">
        <f t="shared" si="1"/>
        <v>25363.5</v>
      </c>
      <c r="G55">
        <f t="shared" si="5"/>
        <v>6.3522049968014471E-3</v>
      </c>
      <c r="J55">
        <f>+G55</f>
        <v>6.3522049968014471E-3</v>
      </c>
      <c r="O55">
        <f t="shared" ca="1" si="7"/>
        <v>6.8555633445995072E-3</v>
      </c>
      <c r="Q55" s="2">
        <f t="shared" si="4"/>
        <v>38916.008600000001</v>
      </c>
    </row>
    <row r="56" spans="1:17" x14ac:dyDescent="0.2">
      <c r="A56" s="28" t="s">
        <v>40</v>
      </c>
      <c r="B56" s="29" t="s">
        <v>41</v>
      </c>
      <c r="C56" s="13">
        <v>53990.452899999997</v>
      </c>
      <c r="D56" s="13">
        <v>6.9999999999999999E-4</v>
      </c>
      <c r="E56">
        <f t="shared" si="0"/>
        <v>25437.009385587331</v>
      </c>
      <c r="F56">
        <f t="shared" si="1"/>
        <v>25437</v>
      </c>
      <c r="G56">
        <f t="shared" si="5"/>
        <v>7.1437099904869683E-3</v>
      </c>
      <c r="J56">
        <f>+G56</f>
        <v>7.1437099904869683E-3</v>
      </c>
      <c r="O56">
        <f t="shared" ca="1" si="7"/>
        <v>6.7932963155141676E-3</v>
      </c>
      <c r="Q56" s="2">
        <f t="shared" si="4"/>
        <v>38971.952899999997</v>
      </c>
    </row>
    <row r="57" spans="1:17" x14ac:dyDescent="0.2">
      <c r="A57" s="30" t="s">
        <v>42</v>
      </c>
      <c r="B57" s="29"/>
      <c r="C57" s="13">
        <v>54245.432399999998</v>
      </c>
      <c r="D57" s="13">
        <v>1.1000000000000001E-3</v>
      </c>
      <c r="E57">
        <f t="shared" si="0"/>
        <v>25772.007918110099</v>
      </c>
      <c r="F57">
        <f t="shared" si="1"/>
        <v>25772</v>
      </c>
      <c r="G57">
        <f t="shared" si="5"/>
        <v>6.0267599983490072E-3</v>
      </c>
      <c r="J57">
        <f>+G57</f>
        <v>6.0267599983490072E-3</v>
      </c>
      <c r="O57">
        <f t="shared" ca="1" si="7"/>
        <v>6.5094942101592036E-3</v>
      </c>
      <c r="Q57" s="2">
        <f t="shared" si="4"/>
        <v>39226.932399999998</v>
      </c>
    </row>
    <row r="58" spans="1:17" x14ac:dyDescent="0.2">
      <c r="A58" s="7" t="s">
        <v>45</v>
      </c>
      <c r="B58" s="5"/>
      <c r="C58" s="44">
        <v>54352.754000000001</v>
      </c>
      <c r="D58" s="13">
        <v>1E-4</v>
      </c>
      <c r="E58">
        <f t="shared" si="0"/>
        <v>25913.009757505017</v>
      </c>
      <c r="F58">
        <f t="shared" si="1"/>
        <v>25913</v>
      </c>
      <c r="G58">
        <f t="shared" si="5"/>
        <v>7.4267899981350638E-3</v>
      </c>
      <c r="K58">
        <f>+G58</f>
        <v>7.4267899981350638E-3</v>
      </c>
      <c r="O58">
        <f t="shared" ca="1" si="7"/>
        <v>6.3900431747709943E-3</v>
      </c>
      <c r="Q58" s="2">
        <f t="shared" si="4"/>
        <v>39334.254000000001</v>
      </c>
    </row>
    <row r="59" spans="1:17" x14ac:dyDescent="0.2">
      <c r="A59" s="37" t="s">
        <v>46</v>
      </c>
      <c r="B59" s="38" t="s">
        <v>34</v>
      </c>
      <c r="C59" s="37">
        <v>54600.506099999999</v>
      </c>
      <c r="D59" s="37">
        <v>1.4E-3</v>
      </c>
      <c r="E59">
        <f t="shared" si="0"/>
        <v>26238.512748645222</v>
      </c>
      <c r="F59">
        <f t="shared" si="1"/>
        <v>26238.5</v>
      </c>
      <c r="G59">
        <f t="shared" si="5"/>
        <v>9.7034549980890006E-3</v>
      </c>
      <c r="J59">
        <f>+G59</f>
        <v>9.7034549980890006E-3</v>
      </c>
      <c r="O59">
        <f t="shared" ca="1" si="7"/>
        <v>6.11428918882162E-3</v>
      </c>
      <c r="Q59" s="2">
        <f t="shared" si="4"/>
        <v>39582.006099999999</v>
      </c>
    </row>
    <row r="60" spans="1:17" x14ac:dyDescent="0.2">
      <c r="A60" s="60" t="s">
        <v>211</v>
      </c>
      <c r="B60" s="61" t="s">
        <v>41</v>
      </c>
      <c r="C60" s="60">
        <v>54720.375500000002</v>
      </c>
      <c r="D60" s="60" t="s">
        <v>65</v>
      </c>
      <c r="E60">
        <f t="shared" si="0"/>
        <v>26396.000205850156</v>
      </c>
      <c r="F60">
        <f t="shared" si="1"/>
        <v>26396</v>
      </c>
      <c r="G60">
        <f t="shared" si="5"/>
        <v>1.5667999832658097E-4</v>
      </c>
      <c r="K60">
        <f>+G60</f>
        <v>1.5667999832658097E-4</v>
      </c>
      <c r="O60">
        <f t="shared" ca="1" si="7"/>
        <v>5.9808598407816022E-3</v>
      </c>
      <c r="Q60" s="2">
        <f t="shared" si="4"/>
        <v>39701.875500000002</v>
      </c>
    </row>
    <row r="61" spans="1:17" x14ac:dyDescent="0.2">
      <c r="A61" s="39" t="s">
        <v>47</v>
      </c>
      <c r="B61" s="40"/>
      <c r="C61" s="37">
        <v>54984.874900000003</v>
      </c>
      <c r="D61" s="37">
        <v>4.0000000000000002E-4</v>
      </c>
      <c r="E61">
        <f t="shared" si="0"/>
        <v>26743.506224385579</v>
      </c>
      <c r="F61">
        <f t="shared" si="1"/>
        <v>26743.5</v>
      </c>
      <c r="G61">
        <f t="shared" si="5"/>
        <v>4.7376049988088198E-3</v>
      </c>
      <c r="K61">
        <f>+G61</f>
        <v>4.7376049988088198E-3</v>
      </c>
      <c r="O61">
        <f t="shared" ca="1" si="7"/>
        <v>5.6864681046298118E-3</v>
      </c>
      <c r="Q61" s="2">
        <f t="shared" si="4"/>
        <v>39966.374900000003</v>
      </c>
    </row>
    <row r="62" spans="1:17" x14ac:dyDescent="0.2">
      <c r="A62" s="43" t="s">
        <v>51</v>
      </c>
      <c r="B62" s="38" t="s">
        <v>41</v>
      </c>
      <c r="C62" s="37">
        <v>55042.339399999997</v>
      </c>
      <c r="D62" s="37">
        <v>2.0000000000000001E-4</v>
      </c>
      <c r="E62">
        <f t="shared" si="0"/>
        <v>26819.004541592072</v>
      </c>
      <c r="F62">
        <f t="shared" si="1"/>
        <v>26819</v>
      </c>
      <c r="G62">
        <f t="shared" si="5"/>
        <v>3.4567699913168326E-3</v>
      </c>
      <c r="K62">
        <f>+G62</f>
        <v>3.4567699913168326E-3</v>
      </c>
      <c r="O62">
        <f t="shared" ca="1" si="7"/>
        <v>5.6225067346169777E-3</v>
      </c>
      <c r="Q62" s="2">
        <f t="shared" si="4"/>
        <v>40023.839399999997</v>
      </c>
    </row>
    <row r="63" spans="1:17" x14ac:dyDescent="0.2">
      <c r="A63" s="45" t="s">
        <v>54</v>
      </c>
      <c r="B63" s="45"/>
      <c r="C63" s="46">
        <v>55430.519899999999</v>
      </c>
      <c r="D63" s="46">
        <v>1.8E-3</v>
      </c>
      <c r="E63">
        <f t="shared" si="0"/>
        <v>27329.005925444322</v>
      </c>
      <c r="F63">
        <f t="shared" si="1"/>
        <v>27329</v>
      </c>
      <c r="G63">
        <f t="shared" si="5"/>
        <v>4.5100699935574085E-3</v>
      </c>
      <c r="J63">
        <f>+G63</f>
        <v>4.5100699935574085E-3</v>
      </c>
      <c r="O63">
        <f t="shared" ca="1" si="7"/>
        <v>5.1904497981064383E-3</v>
      </c>
      <c r="Q63" s="2">
        <f t="shared" si="4"/>
        <v>40412.019899999999</v>
      </c>
    </row>
    <row r="64" spans="1:17" x14ac:dyDescent="0.2">
      <c r="A64" s="41" t="s">
        <v>50</v>
      </c>
      <c r="B64" s="42" t="s">
        <v>34</v>
      </c>
      <c r="C64" s="41">
        <v>55712.522799999999</v>
      </c>
      <c r="D64" s="41">
        <v>8.8000000000000005E-3</v>
      </c>
      <c r="E64">
        <f t="shared" si="0"/>
        <v>27699.508486109647</v>
      </c>
      <c r="F64">
        <f t="shared" si="1"/>
        <v>27699.5</v>
      </c>
      <c r="G64">
        <f t="shared" si="5"/>
        <v>6.4590849942760542E-3</v>
      </c>
      <c r="J64">
        <f>+G64</f>
        <v>6.4590849942760542E-3</v>
      </c>
      <c r="O64">
        <f t="shared" ca="1" si="7"/>
        <v>4.8765731412884865E-3</v>
      </c>
      <c r="Q64" s="2">
        <f t="shared" si="4"/>
        <v>40694.022799999999</v>
      </c>
    </row>
    <row r="65" spans="1:17" x14ac:dyDescent="0.2">
      <c r="A65" s="43" t="s">
        <v>52</v>
      </c>
      <c r="B65" s="38" t="s">
        <v>41</v>
      </c>
      <c r="C65" s="37">
        <v>56074.438300000002</v>
      </c>
      <c r="D65" s="37">
        <v>2.8E-3</v>
      </c>
      <c r="E65">
        <f t="shared" si="0"/>
        <v>28175.002246969816</v>
      </c>
      <c r="F65">
        <f t="shared" si="1"/>
        <v>28175</v>
      </c>
      <c r="G65">
        <f t="shared" si="5"/>
        <v>1.7102499987231568E-3</v>
      </c>
      <c r="J65">
        <f>+G65</f>
        <v>1.7102499987231568E-3</v>
      </c>
      <c r="O65">
        <f ca="1">+C$11+C$12*$F65</f>
        <v>4.4737435857771894E-3</v>
      </c>
      <c r="Q65" s="2">
        <f t="shared" si="4"/>
        <v>41055.938300000002</v>
      </c>
    </row>
    <row r="66" spans="1:17" x14ac:dyDescent="0.2">
      <c r="A66" s="63" t="s">
        <v>0</v>
      </c>
      <c r="B66" s="64" t="s">
        <v>41</v>
      </c>
      <c r="C66" s="65">
        <v>57562.457000000002</v>
      </c>
      <c r="D66" s="65">
        <v>4.0000000000000002E-4</v>
      </c>
      <c r="E66">
        <f>+(C66-C$7)/C$8</f>
        <v>30129.99894618068</v>
      </c>
      <c r="F66">
        <f t="shared" si="1"/>
        <v>30130</v>
      </c>
      <c r="G66">
        <f>+C66-(C$7+F66*C$8)</f>
        <v>-8.0210000305669382E-4</v>
      </c>
      <c r="K66">
        <f>+G66</f>
        <v>-8.0210000305669382E-4</v>
      </c>
      <c r="O66">
        <f ca="1">+C$11+C$12*$F66</f>
        <v>2.8175253291534523E-3</v>
      </c>
      <c r="Q66" s="2">
        <f>+C66-15018.5</f>
        <v>42543.957000000002</v>
      </c>
    </row>
    <row r="67" spans="1:17" x14ac:dyDescent="0.2">
      <c r="A67" s="66" t="s">
        <v>237</v>
      </c>
      <c r="B67" s="67" t="s">
        <v>41</v>
      </c>
      <c r="C67" s="68">
        <v>59002.527499999997</v>
      </c>
      <c r="D67" s="66">
        <v>1.5E-3</v>
      </c>
      <c r="E67">
        <f t="shared" ref="E67:E68" si="8">+(C67-C$7)/C$8</f>
        <v>32022.00008442641</v>
      </c>
      <c r="F67">
        <f t="shared" ref="F67:F68" si="9">ROUND(2*E67,0)/2</f>
        <v>32022</v>
      </c>
      <c r="G67">
        <f t="shared" ref="G67:G68" si="10">+C67-(C$7+F67*C$8)</f>
        <v>6.425999163184315E-5</v>
      </c>
      <c r="K67">
        <f t="shared" ref="K67:K68" si="11">+G67</f>
        <v>6.425999163184315E-5</v>
      </c>
      <c r="O67">
        <f t="shared" ref="O67:O68" ca="1" si="12">+C$11+C$12*$F67</f>
        <v>1.214678811745723E-3</v>
      </c>
      <c r="Q67" s="2">
        <f t="shared" ref="Q67:Q68" si="13">+C67-15018.5</f>
        <v>43984.027499999997</v>
      </c>
    </row>
    <row r="68" spans="1:17" x14ac:dyDescent="0.2">
      <c r="A68" s="66" t="s">
        <v>238</v>
      </c>
      <c r="B68" s="67" t="s">
        <v>34</v>
      </c>
      <c r="C68" s="68">
        <v>59645.694199999998</v>
      </c>
      <c r="D68" s="66">
        <v>5.0000000000000001E-4</v>
      </c>
      <c r="E68">
        <f t="shared" si="8"/>
        <v>32867.008803431316</v>
      </c>
      <c r="F68">
        <f t="shared" si="9"/>
        <v>32867</v>
      </c>
      <c r="G68">
        <f t="shared" si="10"/>
        <v>6.7006099998252466E-3</v>
      </c>
      <c r="K68">
        <f t="shared" si="11"/>
        <v>6.7006099998252466E-3</v>
      </c>
      <c r="O68">
        <f t="shared" ca="1" si="12"/>
        <v>4.9881976988021964E-4</v>
      </c>
      <c r="Q68" s="2">
        <f t="shared" si="13"/>
        <v>44627.194199999998</v>
      </c>
    </row>
    <row r="69" spans="1:17" x14ac:dyDescent="0.2">
      <c r="B69" s="5"/>
    </row>
    <row r="70" spans="1:17" x14ac:dyDescent="0.2">
      <c r="B70" s="5"/>
    </row>
    <row r="71" spans="1:17" x14ac:dyDescent="0.2">
      <c r="B71" s="5"/>
    </row>
    <row r="72" spans="1:17" x14ac:dyDescent="0.2">
      <c r="B72" s="5"/>
    </row>
    <row r="73" spans="1:17" x14ac:dyDescent="0.2">
      <c r="B73" s="5"/>
    </row>
    <row r="74" spans="1:17" x14ac:dyDescent="0.2">
      <c r="B74" s="5"/>
    </row>
    <row r="75" spans="1:17" x14ac:dyDescent="0.2">
      <c r="B75" s="5"/>
    </row>
    <row r="76" spans="1:17" x14ac:dyDescent="0.2">
      <c r="B76" s="5"/>
    </row>
    <row r="77" spans="1:17" x14ac:dyDescent="0.2">
      <c r="B77" s="5"/>
    </row>
    <row r="78" spans="1:17" x14ac:dyDescent="0.2">
      <c r="B78" s="5"/>
    </row>
    <row r="79" spans="1:17" x14ac:dyDescent="0.2">
      <c r="B79" s="5"/>
    </row>
    <row r="80" spans="1:17" x14ac:dyDescent="0.2">
      <c r="B80" s="5"/>
    </row>
    <row r="81" spans="2:2" x14ac:dyDescent="0.2">
      <c r="B81" s="5"/>
    </row>
    <row r="82" spans="2:2" x14ac:dyDescent="0.2">
      <c r="B82" s="5"/>
    </row>
    <row r="83" spans="2:2" x14ac:dyDescent="0.2">
      <c r="B83" s="5"/>
    </row>
    <row r="84" spans="2:2" x14ac:dyDescent="0.2">
      <c r="B84" s="5"/>
    </row>
    <row r="85" spans="2:2" x14ac:dyDescent="0.2">
      <c r="B85" s="5"/>
    </row>
    <row r="86" spans="2:2" x14ac:dyDescent="0.2">
      <c r="B86" s="5"/>
    </row>
    <row r="87" spans="2:2" x14ac:dyDescent="0.2">
      <c r="B87" s="5"/>
    </row>
    <row r="88" spans="2:2" x14ac:dyDescent="0.2">
      <c r="B88" s="5"/>
    </row>
    <row r="89" spans="2:2" x14ac:dyDescent="0.2">
      <c r="B89" s="5"/>
    </row>
    <row r="90" spans="2:2" x14ac:dyDescent="0.2">
      <c r="B90" s="5"/>
    </row>
    <row r="91" spans="2:2" x14ac:dyDescent="0.2">
      <c r="B91" s="5"/>
    </row>
    <row r="92" spans="2:2" x14ac:dyDescent="0.2">
      <c r="B92" s="5"/>
    </row>
    <row r="93" spans="2:2" x14ac:dyDescent="0.2">
      <c r="B93" s="5"/>
    </row>
    <row r="94" spans="2:2" x14ac:dyDescent="0.2">
      <c r="B94" s="5"/>
    </row>
    <row r="95" spans="2:2" x14ac:dyDescent="0.2">
      <c r="B95" s="5"/>
    </row>
    <row r="96" spans="2:2" x14ac:dyDescent="0.2">
      <c r="B96" s="5"/>
    </row>
    <row r="97" spans="2:2" x14ac:dyDescent="0.2">
      <c r="B97" s="5"/>
    </row>
    <row r="98" spans="2:2" x14ac:dyDescent="0.2">
      <c r="B98" s="5"/>
    </row>
    <row r="99" spans="2:2" x14ac:dyDescent="0.2">
      <c r="B99" s="5"/>
    </row>
    <row r="100" spans="2:2" x14ac:dyDescent="0.2">
      <c r="B100" s="5"/>
    </row>
    <row r="101" spans="2:2" x14ac:dyDescent="0.2">
      <c r="B101" s="5"/>
    </row>
    <row r="102" spans="2:2" x14ac:dyDescent="0.2">
      <c r="B102" s="5"/>
    </row>
    <row r="103" spans="2:2" x14ac:dyDescent="0.2">
      <c r="B103" s="5"/>
    </row>
    <row r="104" spans="2:2" x14ac:dyDescent="0.2">
      <c r="B104" s="5"/>
    </row>
  </sheetData>
  <phoneticPr fontId="8" type="noConversion"/>
  <hyperlinks>
    <hyperlink ref="H99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topLeftCell="A6" workbookViewId="0">
      <selection activeCell="A26" sqref="A26:D54"/>
    </sheetView>
  </sheetViews>
  <sheetFormatPr defaultRowHeight="12.75" x14ac:dyDescent="0.2"/>
  <cols>
    <col min="1" max="1" width="19.7109375" style="13" customWidth="1"/>
    <col min="2" max="2" width="4.42578125" style="11" customWidth="1"/>
    <col min="3" max="3" width="12.7109375" style="13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7" t="s">
        <v>55</v>
      </c>
      <c r="I1" s="48" t="s">
        <v>56</v>
      </c>
      <c r="J1" s="49" t="s">
        <v>57</v>
      </c>
    </row>
    <row r="2" spans="1:16" x14ac:dyDescent="0.2">
      <c r="I2" s="50" t="s">
        <v>58</v>
      </c>
      <c r="J2" s="51" t="s">
        <v>59</v>
      </c>
    </row>
    <row r="3" spans="1:16" x14ac:dyDescent="0.2">
      <c r="A3" s="52" t="s">
        <v>60</v>
      </c>
      <c r="I3" s="50" t="s">
        <v>61</v>
      </c>
      <c r="J3" s="51" t="s">
        <v>62</v>
      </c>
    </row>
    <row r="4" spans="1:16" x14ac:dyDescent="0.2">
      <c r="I4" s="50" t="s">
        <v>63</v>
      </c>
      <c r="J4" s="51" t="s">
        <v>62</v>
      </c>
    </row>
    <row r="5" spans="1:16" ht="13.5" thickBot="1" x14ac:dyDescent="0.25">
      <c r="I5" s="53" t="s">
        <v>64</v>
      </c>
      <c r="J5" s="54" t="s">
        <v>65</v>
      </c>
    </row>
    <row r="10" spans="1:16" ht="13.5" thickBot="1" x14ac:dyDescent="0.25"/>
    <row r="11" spans="1:16" ht="12.75" customHeight="1" thickBot="1" x14ac:dyDescent="0.25">
      <c r="A11" s="13" t="str">
        <f t="shared" ref="A11:A54" si="0">P11</f>
        <v>BAVM 111 </v>
      </c>
      <c r="B11" s="5" t="str">
        <f t="shared" ref="B11:B54" si="1">IF(H11=INT(H11),"I","II")</f>
        <v>II</v>
      </c>
      <c r="C11" s="13">
        <f t="shared" ref="C11:C54" si="2">1*G11</f>
        <v>50700.446600000003</v>
      </c>
      <c r="D11" s="11" t="str">
        <f t="shared" ref="D11:D54" si="3">VLOOKUP(F11,I$1:J$5,2,FALSE)</f>
        <v>vis</v>
      </c>
      <c r="E11" s="55">
        <f>VLOOKUP(C11,Active!C$21:E$972,3,FALSE)</f>
        <v>21114.515685150003</v>
      </c>
      <c r="F11" s="5" t="s">
        <v>64</v>
      </c>
      <c r="G11" s="11" t="str">
        <f t="shared" ref="G11:G54" si="4">MID(I11,3,LEN(I11)-3)</f>
        <v>50700.4466</v>
      </c>
      <c r="H11" s="13">
        <f t="shared" ref="H11:H54" si="5">1*K11</f>
        <v>21114.5</v>
      </c>
      <c r="I11" s="56" t="s">
        <v>150</v>
      </c>
      <c r="J11" s="57" t="s">
        <v>151</v>
      </c>
      <c r="K11" s="56">
        <v>21114.5</v>
      </c>
      <c r="L11" s="56" t="s">
        <v>152</v>
      </c>
      <c r="M11" s="57" t="s">
        <v>146</v>
      </c>
      <c r="N11" s="57" t="s">
        <v>153</v>
      </c>
      <c r="O11" s="58" t="s">
        <v>148</v>
      </c>
      <c r="P11" s="59" t="s">
        <v>154</v>
      </c>
    </row>
    <row r="12" spans="1:16" ht="12.75" customHeight="1" thickBot="1" x14ac:dyDescent="0.25">
      <c r="A12" s="13" t="str">
        <f t="shared" si="0"/>
        <v>BAVM 132 </v>
      </c>
      <c r="B12" s="5" t="str">
        <f t="shared" si="1"/>
        <v>I</v>
      </c>
      <c r="C12" s="13">
        <f t="shared" si="2"/>
        <v>51393.459499999997</v>
      </c>
      <c r="D12" s="11" t="str">
        <f t="shared" si="3"/>
        <v>vis</v>
      </c>
      <c r="E12" s="55">
        <f>VLOOKUP(C12,Active!C$21:E$972,3,FALSE)</f>
        <v>22025.013605646931</v>
      </c>
      <c r="F12" s="5" t="s">
        <v>64</v>
      </c>
      <c r="G12" s="11" t="str">
        <f t="shared" si="4"/>
        <v>51393.4595</v>
      </c>
      <c r="H12" s="13">
        <f t="shared" si="5"/>
        <v>22025</v>
      </c>
      <c r="I12" s="56" t="s">
        <v>155</v>
      </c>
      <c r="J12" s="57" t="s">
        <v>156</v>
      </c>
      <c r="K12" s="56">
        <v>22025</v>
      </c>
      <c r="L12" s="56" t="s">
        <v>157</v>
      </c>
      <c r="M12" s="57" t="s">
        <v>146</v>
      </c>
      <c r="N12" s="57" t="s">
        <v>64</v>
      </c>
      <c r="O12" s="58" t="s">
        <v>148</v>
      </c>
      <c r="P12" s="59" t="s">
        <v>158</v>
      </c>
    </row>
    <row r="13" spans="1:16" ht="12.75" customHeight="1" thickBot="1" x14ac:dyDescent="0.25">
      <c r="A13" s="13" t="str">
        <f t="shared" si="0"/>
        <v> JAAVSO 38;85 </v>
      </c>
      <c r="B13" s="5" t="str">
        <f t="shared" si="1"/>
        <v>I</v>
      </c>
      <c r="C13" s="13">
        <f t="shared" si="2"/>
        <v>52418.707799999996</v>
      </c>
      <c r="D13" s="11" t="str">
        <f t="shared" si="3"/>
        <v>vis</v>
      </c>
      <c r="E13" s="55">
        <f>VLOOKUP(C13,Active!C$21:E$972,3,FALSE)</f>
        <v>23372.010819036484</v>
      </c>
      <c r="F13" s="5" t="s">
        <v>64</v>
      </c>
      <c r="G13" s="11" t="str">
        <f t="shared" si="4"/>
        <v>52418.7078</v>
      </c>
      <c r="H13" s="13">
        <f t="shared" si="5"/>
        <v>23372</v>
      </c>
      <c r="I13" s="56" t="s">
        <v>159</v>
      </c>
      <c r="J13" s="57" t="s">
        <v>160</v>
      </c>
      <c r="K13" s="56">
        <v>23372</v>
      </c>
      <c r="L13" s="56" t="s">
        <v>161</v>
      </c>
      <c r="M13" s="57" t="s">
        <v>162</v>
      </c>
      <c r="N13" s="57" t="s">
        <v>163</v>
      </c>
      <c r="O13" s="58" t="s">
        <v>164</v>
      </c>
      <c r="P13" s="58" t="s">
        <v>165</v>
      </c>
    </row>
    <row r="14" spans="1:16" ht="12.75" customHeight="1" thickBot="1" x14ac:dyDescent="0.25">
      <c r="A14" s="13" t="str">
        <f t="shared" si="0"/>
        <v>BAVM 178 </v>
      </c>
      <c r="B14" s="5" t="str">
        <f t="shared" si="1"/>
        <v>II</v>
      </c>
      <c r="C14" s="13">
        <f t="shared" si="2"/>
        <v>53517.406600000002</v>
      </c>
      <c r="D14" s="11" t="str">
        <f t="shared" si="3"/>
        <v>vis</v>
      </c>
      <c r="E14" s="55">
        <f>VLOOKUP(C14,Active!C$21:E$972,3,FALSE)</f>
        <v>24815.509161783757</v>
      </c>
      <c r="F14" s="5" t="s">
        <v>64</v>
      </c>
      <c r="G14" s="11" t="str">
        <f t="shared" si="4"/>
        <v>53517.4066</v>
      </c>
      <c r="H14" s="13">
        <f t="shared" si="5"/>
        <v>24815.5</v>
      </c>
      <c r="I14" s="56" t="s">
        <v>166</v>
      </c>
      <c r="J14" s="57" t="s">
        <v>167</v>
      </c>
      <c r="K14" s="56">
        <v>24815.5</v>
      </c>
      <c r="L14" s="56" t="s">
        <v>168</v>
      </c>
      <c r="M14" s="57" t="s">
        <v>162</v>
      </c>
      <c r="N14" s="57" t="s">
        <v>169</v>
      </c>
      <c r="O14" s="58" t="s">
        <v>148</v>
      </c>
      <c r="P14" s="59" t="s">
        <v>170</v>
      </c>
    </row>
    <row r="15" spans="1:16" ht="12.75" customHeight="1" thickBot="1" x14ac:dyDescent="0.25">
      <c r="A15" s="13" t="str">
        <f t="shared" si="0"/>
        <v>BAVM 178 </v>
      </c>
      <c r="B15" s="5" t="str">
        <f t="shared" si="1"/>
        <v>I</v>
      </c>
      <c r="C15" s="13">
        <f t="shared" si="2"/>
        <v>53614.454100000003</v>
      </c>
      <c r="D15" s="11" t="str">
        <f t="shared" si="3"/>
        <v>vis</v>
      </c>
      <c r="E15" s="55">
        <f>VLOOKUP(C15,Active!C$21:E$972,3,FALSE)</f>
        <v>24943.01262808204</v>
      </c>
      <c r="F15" s="5" t="s">
        <v>64</v>
      </c>
      <c r="G15" s="11" t="str">
        <f t="shared" si="4"/>
        <v>53614.4541</v>
      </c>
      <c r="H15" s="13">
        <f t="shared" si="5"/>
        <v>24943</v>
      </c>
      <c r="I15" s="56" t="s">
        <v>171</v>
      </c>
      <c r="J15" s="57" t="s">
        <v>172</v>
      </c>
      <c r="K15" s="56" t="s">
        <v>173</v>
      </c>
      <c r="L15" s="56" t="s">
        <v>174</v>
      </c>
      <c r="M15" s="57" t="s">
        <v>162</v>
      </c>
      <c r="N15" s="57" t="s">
        <v>169</v>
      </c>
      <c r="O15" s="58" t="s">
        <v>148</v>
      </c>
      <c r="P15" s="59" t="s">
        <v>170</v>
      </c>
    </row>
    <row r="16" spans="1:16" ht="12.75" customHeight="1" thickBot="1" x14ac:dyDescent="0.25">
      <c r="A16" s="13" t="str">
        <f t="shared" si="0"/>
        <v>BAVM 183 </v>
      </c>
      <c r="B16" s="5" t="str">
        <f t="shared" si="1"/>
        <v>II</v>
      </c>
      <c r="C16" s="13">
        <f t="shared" si="2"/>
        <v>53934.508600000001</v>
      </c>
      <c r="D16" s="11" t="str">
        <f t="shared" si="3"/>
        <v>vis</v>
      </c>
      <c r="E16" s="55">
        <f>VLOOKUP(C16,Active!C$21:E$972,3,FALSE)</f>
        <v>25363.508345687998</v>
      </c>
      <c r="F16" s="5" t="s">
        <v>64</v>
      </c>
      <c r="G16" s="11" t="str">
        <f t="shared" si="4"/>
        <v>53934.5086</v>
      </c>
      <c r="H16" s="13">
        <f t="shared" si="5"/>
        <v>25363.5</v>
      </c>
      <c r="I16" s="56" t="s">
        <v>181</v>
      </c>
      <c r="J16" s="57" t="s">
        <v>182</v>
      </c>
      <c r="K16" s="56" t="s">
        <v>183</v>
      </c>
      <c r="L16" s="56" t="s">
        <v>184</v>
      </c>
      <c r="M16" s="57" t="s">
        <v>162</v>
      </c>
      <c r="N16" s="57" t="s">
        <v>169</v>
      </c>
      <c r="O16" s="58" t="s">
        <v>148</v>
      </c>
      <c r="P16" s="59" t="s">
        <v>185</v>
      </c>
    </row>
    <row r="17" spans="1:16" ht="12.75" customHeight="1" thickBot="1" x14ac:dyDescent="0.25">
      <c r="A17" s="13" t="str">
        <f t="shared" si="0"/>
        <v>BAVM 183 </v>
      </c>
      <c r="B17" s="5" t="str">
        <f t="shared" si="1"/>
        <v>I</v>
      </c>
      <c r="C17" s="13">
        <f t="shared" si="2"/>
        <v>53990.452899999997</v>
      </c>
      <c r="D17" s="11" t="str">
        <f t="shared" si="3"/>
        <v>vis</v>
      </c>
      <c r="E17" s="55">
        <f>VLOOKUP(C17,Active!C$21:E$972,3,FALSE)</f>
        <v>25437.009385587331</v>
      </c>
      <c r="F17" s="5" t="s">
        <v>64</v>
      </c>
      <c r="G17" s="11" t="str">
        <f t="shared" si="4"/>
        <v>53990.4529</v>
      </c>
      <c r="H17" s="13">
        <f t="shared" si="5"/>
        <v>25437</v>
      </c>
      <c r="I17" s="56" t="s">
        <v>186</v>
      </c>
      <c r="J17" s="57" t="s">
        <v>187</v>
      </c>
      <c r="K17" s="56" t="s">
        <v>188</v>
      </c>
      <c r="L17" s="56" t="s">
        <v>189</v>
      </c>
      <c r="M17" s="57" t="s">
        <v>162</v>
      </c>
      <c r="N17" s="57" t="s">
        <v>169</v>
      </c>
      <c r="O17" s="58" t="s">
        <v>148</v>
      </c>
      <c r="P17" s="59" t="s">
        <v>185</v>
      </c>
    </row>
    <row r="18" spans="1:16" ht="12.75" customHeight="1" thickBot="1" x14ac:dyDescent="0.25">
      <c r="A18" s="13" t="str">
        <f t="shared" si="0"/>
        <v>BAVM 186 </v>
      </c>
      <c r="B18" s="5" t="str">
        <f t="shared" si="1"/>
        <v>I</v>
      </c>
      <c r="C18" s="13">
        <f t="shared" si="2"/>
        <v>54245.432399999998</v>
      </c>
      <c r="D18" s="11" t="str">
        <f t="shared" si="3"/>
        <v>vis</v>
      </c>
      <c r="E18" s="55">
        <f>VLOOKUP(C18,Active!C$21:E$972,3,FALSE)</f>
        <v>25772.007918110099</v>
      </c>
      <c r="F18" s="5" t="s">
        <v>64</v>
      </c>
      <c r="G18" s="11" t="str">
        <f t="shared" si="4"/>
        <v>54245.4324</v>
      </c>
      <c r="H18" s="13">
        <f t="shared" si="5"/>
        <v>25772</v>
      </c>
      <c r="I18" s="56" t="s">
        <v>190</v>
      </c>
      <c r="J18" s="57" t="s">
        <v>191</v>
      </c>
      <c r="K18" s="56" t="s">
        <v>192</v>
      </c>
      <c r="L18" s="56" t="s">
        <v>193</v>
      </c>
      <c r="M18" s="57" t="s">
        <v>162</v>
      </c>
      <c r="N18" s="57" t="s">
        <v>169</v>
      </c>
      <c r="O18" s="58" t="s">
        <v>148</v>
      </c>
      <c r="P18" s="59" t="s">
        <v>194</v>
      </c>
    </row>
    <row r="19" spans="1:16" ht="12.75" customHeight="1" thickBot="1" x14ac:dyDescent="0.25">
      <c r="A19" s="13" t="str">
        <f t="shared" si="0"/>
        <v>IBVS 5820 </v>
      </c>
      <c r="B19" s="5" t="str">
        <f t="shared" si="1"/>
        <v>I</v>
      </c>
      <c r="C19" s="13">
        <f t="shared" si="2"/>
        <v>54352.754000000001</v>
      </c>
      <c r="D19" s="11" t="str">
        <f t="shared" si="3"/>
        <v>vis</v>
      </c>
      <c r="E19" s="55">
        <f>VLOOKUP(C19,Active!C$21:E$972,3,FALSE)</f>
        <v>25913.009757505017</v>
      </c>
      <c r="F19" s="5" t="s">
        <v>64</v>
      </c>
      <c r="G19" s="11" t="str">
        <f t="shared" si="4"/>
        <v>54352.7540</v>
      </c>
      <c r="H19" s="13">
        <f t="shared" si="5"/>
        <v>25913</v>
      </c>
      <c r="I19" s="56" t="s">
        <v>195</v>
      </c>
      <c r="J19" s="57" t="s">
        <v>196</v>
      </c>
      <c r="K19" s="56" t="s">
        <v>197</v>
      </c>
      <c r="L19" s="56" t="s">
        <v>198</v>
      </c>
      <c r="M19" s="57" t="s">
        <v>162</v>
      </c>
      <c r="N19" s="57" t="s">
        <v>199</v>
      </c>
      <c r="O19" s="58" t="s">
        <v>179</v>
      </c>
      <c r="P19" s="59" t="s">
        <v>200</v>
      </c>
    </row>
    <row r="20" spans="1:16" ht="12.75" customHeight="1" thickBot="1" x14ac:dyDescent="0.25">
      <c r="A20" s="13" t="str">
        <f t="shared" si="0"/>
        <v>BAVM 201 </v>
      </c>
      <c r="B20" s="5" t="str">
        <f t="shared" si="1"/>
        <v>II</v>
      </c>
      <c r="C20" s="13">
        <f t="shared" si="2"/>
        <v>54600.506099999999</v>
      </c>
      <c r="D20" s="11" t="str">
        <f t="shared" si="3"/>
        <v>vis</v>
      </c>
      <c r="E20" s="55">
        <f>VLOOKUP(C20,Active!C$21:E$972,3,FALSE)</f>
        <v>26238.512748645222</v>
      </c>
      <c r="F20" s="5" t="s">
        <v>64</v>
      </c>
      <c r="G20" s="11" t="str">
        <f t="shared" si="4"/>
        <v>54600.5061</v>
      </c>
      <c r="H20" s="13">
        <f t="shared" si="5"/>
        <v>26238.5</v>
      </c>
      <c r="I20" s="56" t="s">
        <v>201</v>
      </c>
      <c r="J20" s="57" t="s">
        <v>202</v>
      </c>
      <c r="K20" s="56" t="s">
        <v>203</v>
      </c>
      <c r="L20" s="56" t="s">
        <v>204</v>
      </c>
      <c r="M20" s="57" t="s">
        <v>162</v>
      </c>
      <c r="N20" s="57" t="s">
        <v>169</v>
      </c>
      <c r="O20" s="58" t="s">
        <v>148</v>
      </c>
      <c r="P20" s="59" t="s">
        <v>205</v>
      </c>
    </row>
    <row r="21" spans="1:16" ht="12.75" customHeight="1" thickBot="1" x14ac:dyDescent="0.25">
      <c r="A21" s="13" t="str">
        <f t="shared" si="0"/>
        <v>IBVS 5929 </v>
      </c>
      <c r="B21" s="5" t="str">
        <f t="shared" si="1"/>
        <v>II</v>
      </c>
      <c r="C21" s="13">
        <f t="shared" si="2"/>
        <v>54984.874900000003</v>
      </c>
      <c r="D21" s="11" t="str">
        <f t="shared" si="3"/>
        <v>vis</v>
      </c>
      <c r="E21" s="55">
        <f>VLOOKUP(C21,Active!C$21:E$972,3,FALSE)</f>
        <v>26743.506224385579</v>
      </c>
      <c r="F21" s="5" t="s">
        <v>64</v>
      </c>
      <c r="G21" s="11" t="str">
        <f t="shared" si="4"/>
        <v>54984.8749</v>
      </c>
      <c r="H21" s="13">
        <f t="shared" si="5"/>
        <v>26743.5</v>
      </c>
      <c r="I21" s="56" t="s">
        <v>212</v>
      </c>
      <c r="J21" s="57" t="s">
        <v>213</v>
      </c>
      <c r="K21" s="56" t="s">
        <v>214</v>
      </c>
      <c r="L21" s="56" t="s">
        <v>215</v>
      </c>
      <c r="M21" s="57" t="s">
        <v>162</v>
      </c>
      <c r="N21" s="57" t="s">
        <v>199</v>
      </c>
      <c r="O21" s="58" t="s">
        <v>179</v>
      </c>
      <c r="P21" s="59" t="s">
        <v>216</v>
      </c>
    </row>
    <row r="22" spans="1:16" ht="12.75" customHeight="1" thickBot="1" x14ac:dyDescent="0.25">
      <c r="A22" s="13" t="str">
        <f t="shared" si="0"/>
        <v> JAAVSO 38;85 </v>
      </c>
      <c r="B22" s="5" t="str">
        <f t="shared" si="1"/>
        <v>I</v>
      </c>
      <c r="C22" s="13">
        <f t="shared" si="2"/>
        <v>55042.339399999997</v>
      </c>
      <c r="D22" s="11" t="str">
        <f t="shared" si="3"/>
        <v>vis</v>
      </c>
      <c r="E22" s="55">
        <f>VLOOKUP(C22,Active!C$21:E$972,3,FALSE)</f>
        <v>26819.004541592072</v>
      </c>
      <c r="F22" s="5" t="s">
        <v>64</v>
      </c>
      <c r="G22" s="11" t="str">
        <f t="shared" si="4"/>
        <v>55042.3394</v>
      </c>
      <c r="H22" s="13">
        <f t="shared" si="5"/>
        <v>26819</v>
      </c>
      <c r="I22" s="56" t="s">
        <v>217</v>
      </c>
      <c r="J22" s="57" t="s">
        <v>218</v>
      </c>
      <c r="K22" s="56" t="s">
        <v>219</v>
      </c>
      <c r="L22" s="56" t="s">
        <v>220</v>
      </c>
      <c r="M22" s="57" t="s">
        <v>162</v>
      </c>
      <c r="N22" s="57" t="s">
        <v>163</v>
      </c>
      <c r="O22" s="58" t="s">
        <v>221</v>
      </c>
      <c r="P22" s="58" t="s">
        <v>165</v>
      </c>
    </row>
    <row r="23" spans="1:16" ht="12.75" customHeight="1" thickBot="1" x14ac:dyDescent="0.25">
      <c r="A23" s="13" t="str">
        <f t="shared" si="0"/>
        <v>BAVM 215 </v>
      </c>
      <c r="B23" s="5" t="str">
        <f t="shared" si="1"/>
        <v>I</v>
      </c>
      <c r="C23" s="13">
        <f t="shared" si="2"/>
        <v>55430.519899999999</v>
      </c>
      <c r="D23" s="11" t="str">
        <f t="shared" si="3"/>
        <v>vis</v>
      </c>
      <c r="E23" s="55">
        <f>VLOOKUP(C23,Active!C$21:E$972,3,FALSE)</f>
        <v>27329.005925444322</v>
      </c>
      <c r="F23" s="5" t="s">
        <v>64</v>
      </c>
      <c r="G23" s="11" t="str">
        <f t="shared" si="4"/>
        <v>55430.5199</v>
      </c>
      <c r="H23" s="13">
        <f t="shared" si="5"/>
        <v>27329</v>
      </c>
      <c r="I23" s="56" t="s">
        <v>222</v>
      </c>
      <c r="J23" s="57" t="s">
        <v>223</v>
      </c>
      <c r="K23" s="56" t="s">
        <v>224</v>
      </c>
      <c r="L23" s="56" t="s">
        <v>225</v>
      </c>
      <c r="M23" s="57" t="s">
        <v>162</v>
      </c>
      <c r="N23" s="57" t="s">
        <v>169</v>
      </c>
      <c r="O23" s="58" t="s">
        <v>148</v>
      </c>
      <c r="P23" s="59" t="s">
        <v>226</v>
      </c>
    </row>
    <row r="24" spans="1:16" ht="12.75" customHeight="1" thickBot="1" x14ac:dyDescent="0.25">
      <c r="A24" s="13" t="str">
        <f t="shared" si="0"/>
        <v>BAVM 220 </v>
      </c>
      <c r="B24" s="5" t="str">
        <f t="shared" si="1"/>
        <v>II</v>
      </c>
      <c r="C24" s="13">
        <f t="shared" si="2"/>
        <v>55712.522799999999</v>
      </c>
      <c r="D24" s="11" t="str">
        <f t="shared" si="3"/>
        <v>vis</v>
      </c>
      <c r="E24" s="55">
        <f>VLOOKUP(C24,Active!C$21:E$972,3,FALSE)</f>
        <v>27699.508486109647</v>
      </c>
      <c r="F24" s="5" t="s">
        <v>64</v>
      </c>
      <c r="G24" s="11" t="str">
        <f t="shared" si="4"/>
        <v>55712.5228</v>
      </c>
      <c r="H24" s="13">
        <f t="shared" si="5"/>
        <v>27699.5</v>
      </c>
      <c r="I24" s="56" t="s">
        <v>227</v>
      </c>
      <c r="J24" s="57" t="s">
        <v>228</v>
      </c>
      <c r="K24" s="56" t="s">
        <v>229</v>
      </c>
      <c r="L24" s="56" t="s">
        <v>230</v>
      </c>
      <c r="M24" s="57" t="s">
        <v>162</v>
      </c>
      <c r="N24" s="57" t="s">
        <v>169</v>
      </c>
      <c r="O24" s="58" t="s">
        <v>148</v>
      </c>
      <c r="P24" s="59" t="s">
        <v>231</v>
      </c>
    </row>
    <row r="25" spans="1:16" ht="12.75" customHeight="1" thickBot="1" x14ac:dyDescent="0.25">
      <c r="A25" s="13" t="str">
        <f t="shared" si="0"/>
        <v>BAVM 231 </v>
      </c>
      <c r="B25" s="5" t="str">
        <f t="shared" si="1"/>
        <v>I</v>
      </c>
      <c r="C25" s="13">
        <f t="shared" si="2"/>
        <v>56074.438300000002</v>
      </c>
      <c r="D25" s="11" t="str">
        <f t="shared" si="3"/>
        <v>vis</v>
      </c>
      <c r="E25" s="55">
        <f>VLOOKUP(C25,Active!C$21:E$972,3,FALSE)</f>
        <v>28175.002246969816</v>
      </c>
      <c r="F25" s="5" t="s">
        <v>64</v>
      </c>
      <c r="G25" s="11" t="str">
        <f t="shared" si="4"/>
        <v>56074.4383</v>
      </c>
      <c r="H25" s="13">
        <f t="shared" si="5"/>
        <v>28175</v>
      </c>
      <c r="I25" s="56" t="s">
        <v>232</v>
      </c>
      <c r="J25" s="57" t="s">
        <v>233</v>
      </c>
      <c r="K25" s="56" t="s">
        <v>234</v>
      </c>
      <c r="L25" s="56" t="s">
        <v>235</v>
      </c>
      <c r="M25" s="57" t="s">
        <v>162</v>
      </c>
      <c r="N25" s="57" t="s">
        <v>169</v>
      </c>
      <c r="O25" s="58" t="s">
        <v>148</v>
      </c>
      <c r="P25" s="59" t="s">
        <v>236</v>
      </c>
    </row>
    <row r="26" spans="1:16" ht="12.75" customHeight="1" thickBot="1" x14ac:dyDescent="0.25">
      <c r="A26" s="13" t="str">
        <f t="shared" si="0"/>
        <v> AHSB 6.2.117 </v>
      </c>
      <c r="B26" s="5" t="str">
        <f t="shared" si="1"/>
        <v>I</v>
      </c>
      <c r="C26" s="13">
        <f t="shared" si="2"/>
        <v>32765.393</v>
      </c>
      <c r="D26" s="11" t="str">
        <f t="shared" si="3"/>
        <v>vis</v>
      </c>
      <c r="E26" s="55">
        <f>VLOOKUP(C26,Active!C$21:E$972,3,FALSE)</f>
        <v>-2449.0125071838365</v>
      </c>
      <c r="F26" s="5" t="s">
        <v>64</v>
      </c>
      <c r="G26" s="11" t="str">
        <f t="shared" si="4"/>
        <v>32765.393</v>
      </c>
      <c r="H26" s="13">
        <f t="shared" si="5"/>
        <v>-2449</v>
      </c>
      <c r="I26" s="56" t="s">
        <v>66</v>
      </c>
      <c r="J26" s="57" t="s">
        <v>67</v>
      </c>
      <c r="K26" s="56">
        <v>-2449</v>
      </c>
      <c r="L26" s="56" t="s">
        <v>68</v>
      </c>
      <c r="M26" s="57" t="s">
        <v>69</v>
      </c>
      <c r="N26" s="57"/>
      <c r="O26" s="58" t="s">
        <v>70</v>
      </c>
      <c r="P26" s="58" t="s">
        <v>71</v>
      </c>
    </row>
    <row r="27" spans="1:16" ht="12.75" customHeight="1" thickBot="1" x14ac:dyDescent="0.25">
      <c r="A27" s="13" t="str">
        <f t="shared" si="0"/>
        <v> AHSB 6.2.117 </v>
      </c>
      <c r="B27" s="5" t="str">
        <f t="shared" si="1"/>
        <v>I</v>
      </c>
      <c r="C27" s="13">
        <f t="shared" si="2"/>
        <v>32794.362999999998</v>
      </c>
      <c r="D27" s="11" t="str">
        <f t="shared" si="3"/>
        <v>vis</v>
      </c>
      <c r="E27" s="55">
        <f>VLOOKUP(C27,Active!C$21:E$972,3,FALSE)</f>
        <v>-2410.9509866020494</v>
      </c>
      <c r="F27" s="5" t="s">
        <v>64</v>
      </c>
      <c r="G27" s="11" t="str">
        <f t="shared" si="4"/>
        <v>32794.363</v>
      </c>
      <c r="H27" s="13">
        <f t="shared" si="5"/>
        <v>-2411</v>
      </c>
      <c r="I27" s="56" t="s">
        <v>72</v>
      </c>
      <c r="J27" s="57" t="s">
        <v>73</v>
      </c>
      <c r="K27" s="56">
        <v>-2411</v>
      </c>
      <c r="L27" s="56" t="s">
        <v>74</v>
      </c>
      <c r="M27" s="57" t="s">
        <v>69</v>
      </c>
      <c r="N27" s="57"/>
      <c r="O27" s="58" t="s">
        <v>70</v>
      </c>
      <c r="P27" s="58" t="s">
        <v>71</v>
      </c>
    </row>
    <row r="28" spans="1:16" ht="12.75" customHeight="1" thickBot="1" x14ac:dyDescent="0.25">
      <c r="A28" s="13" t="str">
        <f t="shared" si="0"/>
        <v> AHSB 6.2.117 </v>
      </c>
      <c r="B28" s="5" t="str">
        <f t="shared" si="1"/>
        <v>I</v>
      </c>
      <c r="C28" s="13">
        <f t="shared" si="2"/>
        <v>32797.381999999998</v>
      </c>
      <c r="D28" s="11" t="str">
        <f t="shared" si="3"/>
        <v>vis</v>
      </c>
      <c r="E28" s="55">
        <f>VLOOKUP(C28,Active!C$21:E$972,3,FALSE)</f>
        <v>-2406.9845478503603</v>
      </c>
      <c r="F28" s="5" t="s">
        <v>64</v>
      </c>
      <c r="G28" s="11" t="str">
        <f t="shared" si="4"/>
        <v>32797.382</v>
      </c>
      <c r="H28" s="13">
        <f t="shared" si="5"/>
        <v>-2407</v>
      </c>
      <c r="I28" s="56" t="s">
        <v>75</v>
      </c>
      <c r="J28" s="57" t="s">
        <v>76</v>
      </c>
      <c r="K28" s="56">
        <v>-2407</v>
      </c>
      <c r="L28" s="56" t="s">
        <v>77</v>
      </c>
      <c r="M28" s="57" t="s">
        <v>69</v>
      </c>
      <c r="N28" s="57"/>
      <c r="O28" s="58" t="s">
        <v>70</v>
      </c>
      <c r="P28" s="58" t="s">
        <v>71</v>
      </c>
    </row>
    <row r="29" spans="1:16" ht="12.75" customHeight="1" thickBot="1" x14ac:dyDescent="0.25">
      <c r="A29" s="13" t="str">
        <f t="shared" si="0"/>
        <v> AHSB 6.2.117 </v>
      </c>
      <c r="B29" s="5" t="str">
        <f t="shared" si="1"/>
        <v>I</v>
      </c>
      <c r="C29" s="13">
        <f t="shared" si="2"/>
        <v>33504.472000000002</v>
      </c>
      <c r="D29" s="11" t="str">
        <f t="shared" si="3"/>
        <v>vis</v>
      </c>
      <c r="E29" s="55">
        <f>VLOOKUP(C29,Active!C$21:E$972,3,FALSE)</f>
        <v>-1477.9917764254999</v>
      </c>
      <c r="F29" s="5" t="s">
        <v>64</v>
      </c>
      <c r="G29" s="11" t="str">
        <f t="shared" si="4"/>
        <v>33504.472</v>
      </c>
      <c r="H29" s="13">
        <f t="shared" si="5"/>
        <v>-1478</v>
      </c>
      <c r="I29" s="56" t="s">
        <v>78</v>
      </c>
      <c r="J29" s="57" t="s">
        <v>79</v>
      </c>
      <c r="K29" s="56">
        <v>-1478</v>
      </c>
      <c r="L29" s="56" t="s">
        <v>80</v>
      </c>
      <c r="M29" s="57" t="s">
        <v>69</v>
      </c>
      <c r="N29" s="57"/>
      <c r="O29" s="58" t="s">
        <v>70</v>
      </c>
      <c r="P29" s="58" t="s">
        <v>71</v>
      </c>
    </row>
    <row r="30" spans="1:16" ht="12.75" customHeight="1" thickBot="1" x14ac:dyDescent="0.25">
      <c r="A30" s="13" t="str">
        <f t="shared" si="0"/>
        <v> AHSB 6.2.117 </v>
      </c>
      <c r="B30" s="5" t="str">
        <f t="shared" si="1"/>
        <v>I</v>
      </c>
      <c r="C30" s="13">
        <f t="shared" si="2"/>
        <v>33893.396999999997</v>
      </c>
      <c r="D30" s="11" t="str">
        <f t="shared" si="3"/>
        <v>vis</v>
      </c>
      <c r="E30" s="55">
        <f>VLOOKUP(C30,Active!C$21:E$972,3,FALSE)</f>
        <v>-967.01224959524086</v>
      </c>
      <c r="F30" s="5" t="s">
        <v>64</v>
      </c>
      <c r="G30" s="11" t="str">
        <f t="shared" si="4"/>
        <v>33893.397</v>
      </c>
      <c r="H30" s="13">
        <f t="shared" si="5"/>
        <v>-967</v>
      </c>
      <c r="I30" s="56" t="s">
        <v>81</v>
      </c>
      <c r="J30" s="57" t="s">
        <v>82</v>
      </c>
      <c r="K30" s="56">
        <v>-967</v>
      </c>
      <c r="L30" s="56" t="s">
        <v>83</v>
      </c>
      <c r="M30" s="57" t="s">
        <v>69</v>
      </c>
      <c r="N30" s="57"/>
      <c r="O30" s="58" t="s">
        <v>70</v>
      </c>
      <c r="P30" s="58" t="s">
        <v>71</v>
      </c>
    </row>
    <row r="31" spans="1:16" ht="12.75" customHeight="1" thickBot="1" x14ac:dyDescent="0.25">
      <c r="A31" s="13" t="str">
        <f t="shared" si="0"/>
        <v> AHSB 6.2.117 </v>
      </c>
      <c r="B31" s="5" t="str">
        <f t="shared" si="1"/>
        <v>I</v>
      </c>
      <c r="C31" s="13">
        <f t="shared" si="2"/>
        <v>33922.33</v>
      </c>
      <c r="D31" s="11" t="str">
        <f t="shared" si="3"/>
        <v>vis</v>
      </c>
      <c r="E31" s="55">
        <f>VLOOKUP(C31,Active!C$21:E$972,3,FALSE)</f>
        <v>-928.99934055164022</v>
      </c>
      <c r="F31" s="5" t="s">
        <v>64</v>
      </c>
      <c r="G31" s="11" t="str">
        <f t="shared" si="4"/>
        <v>33922.330</v>
      </c>
      <c r="H31" s="13">
        <f t="shared" si="5"/>
        <v>-929</v>
      </c>
      <c r="I31" s="56" t="s">
        <v>84</v>
      </c>
      <c r="J31" s="57" t="s">
        <v>85</v>
      </c>
      <c r="K31" s="56">
        <v>-929</v>
      </c>
      <c r="L31" s="56" t="s">
        <v>86</v>
      </c>
      <c r="M31" s="57" t="s">
        <v>69</v>
      </c>
      <c r="N31" s="57"/>
      <c r="O31" s="58" t="s">
        <v>70</v>
      </c>
      <c r="P31" s="58" t="s">
        <v>71</v>
      </c>
    </row>
    <row r="32" spans="1:16" ht="12.75" customHeight="1" thickBot="1" x14ac:dyDescent="0.25">
      <c r="A32" s="13" t="str">
        <f t="shared" si="0"/>
        <v> AHSB 6.2.117 </v>
      </c>
      <c r="B32" s="5" t="str">
        <f t="shared" si="1"/>
        <v>I</v>
      </c>
      <c r="C32" s="13">
        <f t="shared" si="2"/>
        <v>34122.517</v>
      </c>
      <c r="D32" s="11" t="str">
        <f t="shared" si="3"/>
        <v>vis</v>
      </c>
      <c r="E32" s="55">
        <f>VLOOKUP(C32,Active!C$21:E$972,3,FALSE)</f>
        <v>-665.98858388243866</v>
      </c>
      <c r="F32" s="5" t="s">
        <v>64</v>
      </c>
      <c r="G32" s="11" t="str">
        <f t="shared" si="4"/>
        <v>34122.517</v>
      </c>
      <c r="H32" s="13">
        <f t="shared" si="5"/>
        <v>-666</v>
      </c>
      <c r="I32" s="56" t="s">
        <v>87</v>
      </c>
      <c r="J32" s="57" t="s">
        <v>88</v>
      </c>
      <c r="K32" s="56">
        <v>-666</v>
      </c>
      <c r="L32" s="56" t="s">
        <v>89</v>
      </c>
      <c r="M32" s="57" t="s">
        <v>69</v>
      </c>
      <c r="N32" s="57"/>
      <c r="O32" s="58" t="s">
        <v>70</v>
      </c>
      <c r="P32" s="58" t="s">
        <v>71</v>
      </c>
    </row>
    <row r="33" spans="1:16" ht="12.75" customHeight="1" thickBot="1" x14ac:dyDescent="0.25">
      <c r="A33" s="13" t="str">
        <f t="shared" si="0"/>
        <v> AHSB 6.2.117 </v>
      </c>
      <c r="B33" s="5" t="str">
        <f t="shared" si="1"/>
        <v>I</v>
      </c>
      <c r="C33" s="13">
        <f t="shared" si="2"/>
        <v>34237.423999999999</v>
      </c>
      <c r="D33" s="11" t="str">
        <f t="shared" si="3"/>
        <v>vis</v>
      </c>
      <c r="E33" s="55">
        <f>VLOOKUP(C33,Active!C$21:E$972,3,FALSE)</f>
        <v>-515.02085362728701</v>
      </c>
      <c r="F33" s="5" t="s">
        <v>64</v>
      </c>
      <c r="G33" s="11" t="str">
        <f t="shared" si="4"/>
        <v>34237.424</v>
      </c>
      <c r="H33" s="13">
        <f t="shared" si="5"/>
        <v>-515</v>
      </c>
      <c r="I33" s="56" t="s">
        <v>90</v>
      </c>
      <c r="J33" s="57" t="s">
        <v>91</v>
      </c>
      <c r="K33" s="56">
        <v>-515</v>
      </c>
      <c r="L33" s="56" t="s">
        <v>92</v>
      </c>
      <c r="M33" s="57" t="s">
        <v>69</v>
      </c>
      <c r="N33" s="57"/>
      <c r="O33" s="58" t="s">
        <v>70</v>
      </c>
      <c r="P33" s="58" t="s">
        <v>71</v>
      </c>
    </row>
    <row r="34" spans="1:16" ht="12.75" customHeight="1" thickBot="1" x14ac:dyDescent="0.25">
      <c r="A34" s="13" t="str">
        <f t="shared" si="0"/>
        <v> AHSB 6.2.117 </v>
      </c>
      <c r="B34" s="5" t="str">
        <f t="shared" si="1"/>
        <v>I</v>
      </c>
      <c r="C34" s="13">
        <f t="shared" si="2"/>
        <v>34600.47</v>
      </c>
      <c r="D34" s="11" t="str">
        <f t="shared" si="3"/>
        <v>vis</v>
      </c>
      <c r="E34" s="55">
        <f>VLOOKUP(C34,Active!C$21:E$972,3,FALSE)</f>
        <v>-38.041813201442977</v>
      </c>
      <c r="F34" s="5" t="s">
        <v>64</v>
      </c>
      <c r="G34" s="11" t="str">
        <f t="shared" si="4"/>
        <v>34600.470</v>
      </c>
      <c r="H34" s="13">
        <f t="shared" si="5"/>
        <v>-38</v>
      </c>
      <c r="I34" s="56" t="s">
        <v>93</v>
      </c>
      <c r="J34" s="57" t="s">
        <v>94</v>
      </c>
      <c r="K34" s="56">
        <v>-38</v>
      </c>
      <c r="L34" s="56" t="s">
        <v>95</v>
      </c>
      <c r="M34" s="57" t="s">
        <v>69</v>
      </c>
      <c r="N34" s="57"/>
      <c r="O34" s="58" t="s">
        <v>70</v>
      </c>
      <c r="P34" s="58" t="s">
        <v>71</v>
      </c>
    </row>
    <row r="35" spans="1:16" ht="12.75" customHeight="1" thickBot="1" x14ac:dyDescent="0.25">
      <c r="A35" s="13" t="str">
        <f t="shared" si="0"/>
        <v> AHSB 6.2.117 </v>
      </c>
      <c r="B35" s="5" t="str">
        <f t="shared" si="1"/>
        <v>I</v>
      </c>
      <c r="C35" s="13">
        <f t="shared" si="2"/>
        <v>34626.373</v>
      </c>
      <c r="D35" s="11" t="str">
        <f t="shared" si="3"/>
        <v>vis</v>
      </c>
      <c r="E35" s="55">
        <f>VLOOKUP(C35,Active!C$21:E$972,3,FALSE)</f>
        <v>-4.0097949884622066</v>
      </c>
      <c r="F35" s="5" t="s">
        <v>64</v>
      </c>
      <c r="G35" s="11" t="str">
        <f t="shared" si="4"/>
        <v>34626.373</v>
      </c>
      <c r="H35" s="13">
        <f t="shared" si="5"/>
        <v>-4</v>
      </c>
      <c r="I35" s="56" t="s">
        <v>96</v>
      </c>
      <c r="J35" s="57" t="s">
        <v>97</v>
      </c>
      <c r="K35" s="56">
        <v>-4</v>
      </c>
      <c r="L35" s="56" t="s">
        <v>98</v>
      </c>
      <c r="M35" s="57" t="s">
        <v>69</v>
      </c>
      <c r="N35" s="57"/>
      <c r="O35" s="58" t="s">
        <v>70</v>
      </c>
      <c r="P35" s="58" t="s">
        <v>71</v>
      </c>
    </row>
    <row r="36" spans="1:16" ht="12.75" customHeight="1" thickBot="1" x14ac:dyDescent="0.25">
      <c r="A36" s="13" t="str">
        <f t="shared" si="0"/>
        <v> AHSB 6.2.117 </v>
      </c>
      <c r="B36" s="5" t="str">
        <f t="shared" si="1"/>
        <v>I</v>
      </c>
      <c r="C36" s="13">
        <f t="shared" si="2"/>
        <v>34629.387000000002</v>
      </c>
      <c r="D36" s="11" t="str">
        <f t="shared" si="3"/>
        <v>vis</v>
      </c>
      <c r="E36" s="55">
        <f>VLOOKUP(C36,Active!C$21:E$972,3,FALSE)</f>
        <v>-4.9925363552839254E-2</v>
      </c>
      <c r="F36" s="5" t="s">
        <v>64</v>
      </c>
      <c r="G36" s="11" t="str">
        <f t="shared" si="4"/>
        <v>34629.387</v>
      </c>
      <c r="H36" s="13">
        <f t="shared" si="5"/>
        <v>0</v>
      </c>
      <c r="I36" s="56" t="s">
        <v>99</v>
      </c>
      <c r="J36" s="57" t="s">
        <v>100</v>
      </c>
      <c r="K36" s="56">
        <v>0</v>
      </c>
      <c r="L36" s="56" t="s">
        <v>101</v>
      </c>
      <c r="M36" s="57" t="s">
        <v>69</v>
      </c>
      <c r="N36" s="57"/>
      <c r="O36" s="58" t="s">
        <v>70</v>
      </c>
      <c r="P36" s="58" t="s">
        <v>71</v>
      </c>
    </row>
    <row r="37" spans="1:16" ht="12.75" customHeight="1" thickBot="1" x14ac:dyDescent="0.25">
      <c r="A37" s="13" t="str">
        <f t="shared" si="0"/>
        <v> AHSB 6.2.117 </v>
      </c>
      <c r="B37" s="5" t="str">
        <f t="shared" si="1"/>
        <v>I</v>
      </c>
      <c r="C37" s="13">
        <f t="shared" si="2"/>
        <v>34635.506000000001</v>
      </c>
      <c r="D37" s="11" t="str">
        <f t="shared" si="3"/>
        <v>vis</v>
      </c>
      <c r="E37" s="55">
        <f>VLOOKUP(C37,Active!C$21:E$972,3,FALSE)</f>
        <v>7.9893719937108125</v>
      </c>
      <c r="F37" s="5" t="s">
        <v>64</v>
      </c>
      <c r="G37" s="11" t="str">
        <f t="shared" si="4"/>
        <v>34635.506</v>
      </c>
      <c r="H37" s="13">
        <f t="shared" si="5"/>
        <v>8</v>
      </c>
      <c r="I37" s="56" t="s">
        <v>102</v>
      </c>
      <c r="J37" s="57" t="s">
        <v>103</v>
      </c>
      <c r="K37" s="56">
        <v>8</v>
      </c>
      <c r="L37" s="56" t="s">
        <v>104</v>
      </c>
      <c r="M37" s="57" t="s">
        <v>69</v>
      </c>
      <c r="N37" s="57"/>
      <c r="O37" s="58" t="s">
        <v>70</v>
      </c>
      <c r="P37" s="58" t="s">
        <v>71</v>
      </c>
    </row>
    <row r="38" spans="1:16" ht="12.75" customHeight="1" thickBot="1" x14ac:dyDescent="0.25">
      <c r="A38" s="13" t="str">
        <f t="shared" si="0"/>
        <v> AHSB 6.2.117 </v>
      </c>
      <c r="B38" s="5" t="str">
        <f t="shared" si="1"/>
        <v>I</v>
      </c>
      <c r="C38" s="13">
        <f t="shared" si="2"/>
        <v>34655.326999999997</v>
      </c>
      <c r="D38" s="11" t="str">
        <f t="shared" si="3"/>
        <v>vis</v>
      </c>
      <c r="E38" s="55">
        <f>VLOOKUP(C38,Active!C$21:E$972,3,FALSE)</f>
        <v>34.030704387619089</v>
      </c>
      <c r="F38" s="5" t="s">
        <v>64</v>
      </c>
      <c r="G38" s="11" t="str">
        <f t="shared" si="4"/>
        <v>34655.327</v>
      </c>
      <c r="H38" s="13">
        <f t="shared" si="5"/>
        <v>34</v>
      </c>
      <c r="I38" s="56" t="s">
        <v>105</v>
      </c>
      <c r="J38" s="57" t="s">
        <v>106</v>
      </c>
      <c r="K38" s="56">
        <v>34</v>
      </c>
      <c r="L38" s="56" t="s">
        <v>107</v>
      </c>
      <c r="M38" s="57" t="s">
        <v>69</v>
      </c>
      <c r="N38" s="57"/>
      <c r="O38" s="58" t="s">
        <v>70</v>
      </c>
      <c r="P38" s="58" t="s">
        <v>71</v>
      </c>
    </row>
    <row r="39" spans="1:16" ht="12.75" customHeight="1" thickBot="1" x14ac:dyDescent="0.25">
      <c r="A39" s="13" t="str">
        <f t="shared" si="0"/>
        <v> AHSB 6.2.117 </v>
      </c>
      <c r="B39" s="5" t="str">
        <f t="shared" si="1"/>
        <v>I</v>
      </c>
      <c r="C39" s="13">
        <f t="shared" si="2"/>
        <v>35044.254999999997</v>
      </c>
      <c r="D39" s="11" t="str">
        <f t="shared" si="3"/>
        <v>vis</v>
      </c>
      <c r="E39" s="55">
        <f>VLOOKUP(C39,Active!C$21:E$972,3,FALSE)</f>
        <v>545.0141726939537</v>
      </c>
      <c r="F39" s="5" t="s">
        <v>64</v>
      </c>
      <c r="G39" s="11" t="str">
        <f t="shared" si="4"/>
        <v>35044.255</v>
      </c>
      <c r="H39" s="13">
        <f t="shared" si="5"/>
        <v>545</v>
      </c>
      <c r="I39" s="56" t="s">
        <v>108</v>
      </c>
      <c r="J39" s="57" t="s">
        <v>109</v>
      </c>
      <c r="K39" s="56">
        <v>545</v>
      </c>
      <c r="L39" s="56" t="s">
        <v>110</v>
      </c>
      <c r="M39" s="57" t="s">
        <v>69</v>
      </c>
      <c r="N39" s="57"/>
      <c r="O39" s="58" t="s">
        <v>70</v>
      </c>
      <c r="P39" s="58" t="s">
        <v>71</v>
      </c>
    </row>
    <row r="40" spans="1:16" ht="12.75" customHeight="1" thickBot="1" x14ac:dyDescent="0.25">
      <c r="A40" s="13" t="str">
        <f t="shared" si="0"/>
        <v> AHSB 6.2.117 </v>
      </c>
      <c r="B40" s="5" t="str">
        <f t="shared" si="1"/>
        <v>I</v>
      </c>
      <c r="C40" s="13">
        <f t="shared" si="2"/>
        <v>35047.298999999999</v>
      </c>
      <c r="D40" s="11" t="str">
        <f t="shared" si="3"/>
        <v>vis</v>
      </c>
      <c r="E40" s="55">
        <f>VLOOKUP(C40,Active!C$21:E$972,3,FALSE)</f>
        <v>549.01345707956057</v>
      </c>
      <c r="F40" s="5" t="s">
        <v>64</v>
      </c>
      <c r="G40" s="11" t="str">
        <f t="shared" si="4"/>
        <v>35047.299</v>
      </c>
      <c r="H40" s="13">
        <f t="shared" si="5"/>
        <v>549</v>
      </c>
      <c r="I40" s="56" t="s">
        <v>111</v>
      </c>
      <c r="J40" s="57" t="s">
        <v>112</v>
      </c>
      <c r="K40" s="56">
        <v>549</v>
      </c>
      <c r="L40" s="56" t="s">
        <v>113</v>
      </c>
      <c r="M40" s="57" t="s">
        <v>69</v>
      </c>
      <c r="N40" s="57"/>
      <c r="O40" s="58" t="s">
        <v>70</v>
      </c>
      <c r="P40" s="58" t="s">
        <v>71</v>
      </c>
    </row>
    <row r="41" spans="1:16" ht="12.75" customHeight="1" thickBot="1" x14ac:dyDescent="0.25">
      <c r="A41" s="13" t="str">
        <f t="shared" si="0"/>
        <v> AHSB 6.2.117 </v>
      </c>
      <c r="B41" s="5" t="str">
        <f t="shared" si="1"/>
        <v>I</v>
      </c>
      <c r="C41" s="13">
        <f t="shared" si="2"/>
        <v>35066.321000000004</v>
      </c>
      <c r="D41" s="11" t="str">
        <f t="shared" si="3"/>
        <v>vis</v>
      </c>
      <c r="E41" s="55">
        <f>VLOOKUP(C41,Active!C$21:E$972,3,FALSE)</f>
        <v>574.00504301352623</v>
      </c>
      <c r="F41" s="5" t="s">
        <v>64</v>
      </c>
      <c r="G41" s="11" t="str">
        <f t="shared" si="4"/>
        <v>35066.321</v>
      </c>
      <c r="H41" s="13">
        <f t="shared" si="5"/>
        <v>574</v>
      </c>
      <c r="I41" s="56" t="s">
        <v>114</v>
      </c>
      <c r="J41" s="57" t="s">
        <v>115</v>
      </c>
      <c r="K41" s="56">
        <v>574</v>
      </c>
      <c r="L41" s="56" t="s">
        <v>116</v>
      </c>
      <c r="M41" s="57" t="s">
        <v>69</v>
      </c>
      <c r="N41" s="57"/>
      <c r="O41" s="58" t="s">
        <v>70</v>
      </c>
      <c r="P41" s="58" t="s">
        <v>71</v>
      </c>
    </row>
    <row r="42" spans="1:16" ht="12.75" customHeight="1" thickBot="1" x14ac:dyDescent="0.25">
      <c r="A42" s="13" t="str">
        <f t="shared" si="0"/>
        <v> AHSB 6.2.117 </v>
      </c>
      <c r="B42" s="5" t="str">
        <f t="shared" si="1"/>
        <v>I</v>
      </c>
      <c r="C42" s="13">
        <f t="shared" si="2"/>
        <v>35317.498</v>
      </c>
      <c r="D42" s="11" t="str">
        <f t="shared" si="3"/>
        <v>vis</v>
      </c>
      <c r="E42" s="55">
        <f>VLOOKUP(C42,Active!C$21:E$972,3,FALSE)</f>
        <v>904.00775461767466</v>
      </c>
      <c r="F42" s="5" t="s">
        <v>64</v>
      </c>
      <c r="G42" s="11" t="str">
        <f t="shared" si="4"/>
        <v>35317.498</v>
      </c>
      <c r="H42" s="13">
        <f t="shared" si="5"/>
        <v>904</v>
      </c>
      <c r="I42" s="56" t="s">
        <v>117</v>
      </c>
      <c r="J42" s="57" t="s">
        <v>118</v>
      </c>
      <c r="K42" s="56">
        <v>904</v>
      </c>
      <c r="L42" s="56" t="s">
        <v>80</v>
      </c>
      <c r="M42" s="57" t="s">
        <v>69</v>
      </c>
      <c r="N42" s="57"/>
      <c r="O42" s="58" t="s">
        <v>70</v>
      </c>
      <c r="P42" s="58" t="s">
        <v>71</v>
      </c>
    </row>
    <row r="43" spans="1:16" ht="12.75" customHeight="1" thickBot="1" x14ac:dyDescent="0.25">
      <c r="A43" s="13" t="str">
        <f t="shared" si="0"/>
        <v> AHSB 6.2.117 </v>
      </c>
      <c r="B43" s="5" t="str">
        <f t="shared" si="1"/>
        <v>I</v>
      </c>
      <c r="C43" s="13">
        <f t="shared" si="2"/>
        <v>35336.495000000003</v>
      </c>
      <c r="D43" s="11" t="str">
        <f t="shared" si="3"/>
        <v>vis</v>
      </c>
      <c r="E43" s="55">
        <f>VLOOKUP(C43,Active!C$21:E$972,3,FALSE)</f>
        <v>928.96649491772246</v>
      </c>
      <c r="F43" s="5" t="s">
        <v>64</v>
      </c>
      <c r="G43" s="11" t="str">
        <f t="shared" si="4"/>
        <v>35336.495</v>
      </c>
      <c r="H43" s="13">
        <f t="shared" si="5"/>
        <v>929</v>
      </c>
      <c r="I43" s="56" t="s">
        <v>119</v>
      </c>
      <c r="J43" s="57" t="s">
        <v>120</v>
      </c>
      <c r="K43" s="56">
        <v>929</v>
      </c>
      <c r="L43" s="56" t="s">
        <v>121</v>
      </c>
      <c r="M43" s="57" t="s">
        <v>69</v>
      </c>
      <c r="N43" s="57"/>
      <c r="O43" s="58" t="s">
        <v>70</v>
      </c>
      <c r="P43" s="58" t="s">
        <v>71</v>
      </c>
    </row>
    <row r="44" spans="1:16" ht="12.75" customHeight="1" thickBot="1" x14ac:dyDescent="0.25">
      <c r="A44" s="13" t="str">
        <f t="shared" si="0"/>
        <v> AHSB 6.2.117 </v>
      </c>
      <c r="B44" s="5" t="str">
        <f t="shared" si="1"/>
        <v>I</v>
      </c>
      <c r="C44" s="13">
        <f t="shared" si="2"/>
        <v>35391.303</v>
      </c>
      <c r="D44" s="11" t="str">
        <f t="shared" si="3"/>
        <v>vis</v>
      </c>
      <c r="E44" s="55">
        <f>VLOOKUP(C44,Active!C$21:E$972,3,FALSE)</f>
        <v>1000.9746350643105</v>
      </c>
      <c r="F44" s="5" t="s">
        <v>64</v>
      </c>
      <c r="G44" s="11" t="str">
        <f t="shared" si="4"/>
        <v>35391.303</v>
      </c>
      <c r="H44" s="13">
        <f t="shared" si="5"/>
        <v>1001</v>
      </c>
      <c r="I44" s="56" t="s">
        <v>122</v>
      </c>
      <c r="J44" s="57" t="s">
        <v>123</v>
      </c>
      <c r="K44" s="56">
        <v>1001</v>
      </c>
      <c r="L44" s="56" t="s">
        <v>124</v>
      </c>
      <c r="M44" s="57" t="s">
        <v>69</v>
      </c>
      <c r="N44" s="57"/>
      <c r="O44" s="58" t="s">
        <v>70</v>
      </c>
      <c r="P44" s="58" t="s">
        <v>71</v>
      </c>
    </row>
    <row r="45" spans="1:16" ht="12.75" customHeight="1" thickBot="1" x14ac:dyDescent="0.25">
      <c r="A45" s="13" t="str">
        <f t="shared" si="0"/>
        <v> AHSB 6.2.117 </v>
      </c>
      <c r="B45" s="5" t="str">
        <f t="shared" si="1"/>
        <v>I</v>
      </c>
      <c r="C45" s="13">
        <f t="shared" si="2"/>
        <v>36809.334999999999</v>
      </c>
      <c r="D45" s="11" t="str">
        <f t="shared" si="3"/>
        <v>vis</v>
      </c>
      <c r="E45" s="55">
        <f>VLOOKUP(C45,Active!C$21:E$972,3,FALSE)</f>
        <v>2864.0210331877884</v>
      </c>
      <c r="F45" s="5" t="s">
        <v>64</v>
      </c>
      <c r="G45" s="11" t="str">
        <f t="shared" si="4"/>
        <v>36809.335</v>
      </c>
      <c r="H45" s="13">
        <f t="shared" si="5"/>
        <v>2864</v>
      </c>
      <c r="I45" s="56" t="s">
        <v>125</v>
      </c>
      <c r="J45" s="57" t="s">
        <v>126</v>
      </c>
      <c r="K45" s="56">
        <v>2864</v>
      </c>
      <c r="L45" s="56" t="s">
        <v>127</v>
      </c>
      <c r="M45" s="57" t="s">
        <v>69</v>
      </c>
      <c r="N45" s="57"/>
      <c r="O45" s="58" t="s">
        <v>70</v>
      </c>
      <c r="P45" s="58" t="s">
        <v>71</v>
      </c>
    </row>
    <row r="46" spans="1:16" ht="12.75" customHeight="1" thickBot="1" x14ac:dyDescent="0.25">
      <c r="A46" s="13" t="str">
        <f t="shared" si="0"/>
        <v> AHSB 6.2.117 </v>
      </c>
      <c r="B46" s="5" t="str">
        <f t="shared" si="1"/>
        <v>I</v>
      </c>
      <c r="C46" s="13">
        <f t="shared" si="2"/>
        <v>36812.375</v>
      </c>
      <c r="D46" s="11" t="str">
        <f t="shared" si="3"/>
        <v>vis</v>
      </c>
      <c r="E46" s="55">
        <f>VLOOKUP(C46,Active!C$21:E$972,3,FALSE)</f>
        <v>2868.015062271968</v>
      </c>
      <c r="F46" s="5" t="s">
        <v>64</v>
      </c>
      <c r="G46" s="11" t="str">
        <f t="shared" si="4"/>
        <v>36812.375</v>
      </c>
      <c r="H46" s="13">
        <f t="shared" si="5"/>
        <v>2868</v>
      </c>
      <c r="I46" s="56" t="s">
        <v>128</v>
      </c>
      <c r="J46" s="57" t="s">
        <v>129</v>
      </c>
      <c r="K46" s="56">
        <v>2868</v>
      </c>
      <c r="L46" s="56" t="s">
        <v>110</v>
      </c>
      <c r="M46" s="57" t="s">
        <v>69</v>
      </c>
      <c r="N46" s="57"/>
      <c r="O46" s="58" t="s">
        <v>70</v>
      </c>
      <c r="P46" s="58" t="s">
        <v>71</v>
      </c>
    </row>
    <row r="47" spans="1:16" ht="12.75" customHeight="1" thickBot="1" x14ac:dyDescent="0.25">
      <c r="A47" s="13" t="str">
        <f t="shared" si="0"/>
        <v> AHSB 6.2.117 </v>
      </c>
      <c r="B47" s="5" t="str">
        <f t="shared" si="1"/>
        <v>I</v>
      </c>
      <c r="C47" s="13">
        <f t="shared" si="2"/>
        <v>36815.415000000001</v>
      </c>
      <c r="D47" s="11" t="str">
        <f t="shared" si="3"/>
        <v>vis</v>
      </c>
      <c r="E47" s="55">
        <f>VLOOKUP(C47,Active!C$21:E$972,3,FALSE)</f>
        <v>2872.0090913561471</v>
      </c>
      <c r="F47" s="5" t="s">
        <v>64</v>
      </c>
      <c r="G47" s="11" t="str">
        <f t="shared" si="4"/>
        <v>36815.415</v>
      </c>
      <c r="H47" s="13">
        <f t="shared" si="5"/>
        <v>2872</v>
      </c>
      <c r="I47" s="56" t="s">
        <v>130</v>
      </c>
      <c r="J47" s="57" t="s">
        <v>131</v>
      </c>
      <c r="K47" s="56">
        <v>2872</v>
      </c>
      <c r="L47" s="56" t="s">
        <v>132</v>
      </c>
      <c r="M47" s="57" t="s">
        <v>69</v>
      </c>
      <c r="N47" s="57"/>
      <c r="O47" s="58" t="s">
        <v>70</v>
      </c>
      <c r="P47" s="58" t="s">
        <v>71</v>
      </c>
    </row>
    <row r="48" spans="1:16" ht="12.75" customHeight="1" thickBot="1" x14ac:dyDescent="0.25">
      <c r="A48" s="13" t="str">
        <f t="shared" si="0"/>
        <v> AHSB 6.2.117 </v>
      </c>
      <c r="B48" s="5" t="str">
        <f t="shared" si="1"/>
        <v>I</v>
      </c>
      <c r="C48" s="13">
        <f t="shared" si="2"/>
        <v>36818.474999999999</v>
      </c>
      <c r="D48" s="11" t="str">
        <f t="shared" si="3"/>
        <v>vis</v>
      </c>
      <c r="E48" s="55">
        <f>VLOOKUP(C48,Active!C$21:E$972,3,FALSE)</f>
        <v>2876.0293969474551</v>
      </c>
      <c r="F48" s="5" t="s">
        <v>64</v>
      </c>
      <c r="G48" s="11" t="str">
        <f t="shared" si="4"/>
        <v>36818.475</v>
      </c>
      <c r="H48" s="13">
        <f t="shared" si="5"/>
        <v>2876</v>
      </c>
      <c r="I48" s="56" t="s">
        <v>133</v>
      </c>
      <c r="J48" s="57" t="s">
        <v>134</v>
      </c>
      <c r="K48" s="56">
        <v>2876</v>
      </c>
      <c r="L48" s="56" t="s">
        <v>135</v>
      </c>
      <c r="M48" s="57" t="s">
        <v>69</v>
      </c>
      <c r="N48" s="57"/>
      <c r="O48" s="58" t="s">
        <v>70</v>
      </c>
      <c r="P48" s="58" t="s">
        <v>71</v>
      </c>
    </row>
    <row r="49" spans="1:16" ht="12.75" customHeight="1" thickBot="1" x14ac:dyDescent="0.25">
      <c r="A49" s="13" t="str">
        <f t="shared" si="0"/>
        <v> AHSB 6.2.117 </v>
      </c>
      <c r="B49" s="5" t="str">
        <f t="shared" si="1"/>
        <v>I</v>
      </c>
      <c r="C49" s="13">
        <f t="shared" si="2"/>
        <v>36847.379999999997</v>
      </c>
      <c r="D49" s="11" t="str">
        <f t="shared" si="3"/>
        <v>vis</v>
      </c>
      <c r="E49" s="55">
        <f>VLOOKUP(C49,Active!C$21:E$972,3,FALSE)</f>
        <v>2914.0055188810625</v>
      </c>
      <c r="F49" s="5" t="s">
        <v>64</v>
      </c>
      <c r="G49" s="11" t="str">
        <f t="shared" si="4"/>
        <v>36847.380</v>
      </c>
      <c r="H49" s="13">
        <f t="shared" si="5"/>
        <v>2914</v>
      </c>
      <c r="I49" s="56" t="s">
        <v>136</v>
      </c>
      <c r="J49" s="57" t="s">
        <v>137</v>
      </c>
      <c r="K49" s="56">
        <v>2914</v>
      </c>
      <c r="L49" s="56" t="s">
        <v>116</v>
      </c>
      <c r="M49" s="57" t="s">
        <v>69</v>
      </c>
      <c r="N49" s="57"/>
      <c r="O49" s="58" t="s">
        <v>70</v>
      </c>
      <c r="P49" s="58" t="s">
        <v>71</v>
      </c>
    </row>
    <row r="50" spans="1:16" ht="12.75" customHeight="1" thickBot="1" x14ac:dyDescent="0.25">
      <c r="A50" s="13" t="str">
        <f t="shared" si="0"/>
        <v> AHSB 6.2.117 </v>
      </c>
      <c r="B50" s="5" t="str">
        <f t="shared" si="1"/>
        <v>I</v>
      </c>
      <c r="C50" s="13">
        <f t="shared" si="2"/>
        <v>36850.398000000001</v>
      </c>
      <c r="D50" s="11" t="str">
        <f t="shared" si="3"/>
        <v>vis</v>
      </c>
      <c r="E50" s="55">
        <f>VLOOKUP(C50,Active!C$21:E$972,3,FALSE)</f>
        <v>2917.9706438073995</v>
      </c>
      <c r="F50" s="5" t="s">
        <v>64</v>
      </c>
      <c r="G50" s="11" t="str">
        <f t="shared" si="4"/>
        <v>36850.398</v>
      </c>
      <c r="H50" s="13">
        <f t="shared" si="5"/>
        <v>2918</v>
      </c>
      <c r="I50" s="56" t="s">
        <v>138</v>
      </c>
      <c r="J50" s="57" t="s">
        <v>139</v>
      </c>
      <c r="K50" s="56">
        <v>2918</v>
      </c>
      <c r="L50" s="56" t="s">
        <v>140</v>
      </c>
      <c r="M50" s="57" t="s">
        <v>69</v>
      </c>
      <c r="N50" s="57"/>
      <c r="O50" s="58" t="s">
        <v>70</v>
      </c>
      <c r="P50" s="58" t="s">
        <v>71</v>
      </c>
    </row>
    <row r="51" spans="1:16" ht="12.75" customHeight="1" thickBot="1" x14ac:dyDescent="0.25">
      <c r="A51" s="13" t="str">
        <f t="shared" si="0"/>
        <v> AHSB 6.2.117 </v>
      </c>
      <c r="B51" s="5" t="str">
        <f t="shared" si="1"/>
        <v>I</v>
      </c>
      <c r="C51" s="13">
        <f t="shared" si="2"/>
        <v>37143.462</v>
      </c>
      <c r="D51" s="11" t="str">
        <f t="shared" si="3"/>
        <v>vis</v>
      </c>
      <c r="E51" s="55">
        <f>VLOOKUP(C51,Active!C$21:E$972,3,FALSE)</f>
        <v>3303.0055581250285</v>
      </c>
      <c r="F51" s="5" t="s">
        <v>64</v>
      </c>
      <c r="G51" s="11" t="str">
        <f t="shared" si="4"/>
        <v>37143.462</v>
      </c>
      <c r="H51" s="13">
        <f t="shared" si="5"/>
        <v>3303</v>
      </c>
      <c r="I51" s="56" t="s">
        <v>141</v>
      </c>
      <c r="J51" s="57" t="s">
        <v>142</v>
      </c>
      <c r="K51" s="56">
        <v>3303</v>
      </c>
      <c r="L51" s="56" t="s">
        <v>116</v>
      </c>
      <c r="M51" s="57" t="s">
        <v>69</v>
      </c>
      <c r="N51" s="57"/>
      <c r="O51" s="58" t="s">
        <v>70</v>
      </c>
      <c r="P51" s="58" t="s">
        <v>71</v>
      </c>
    </row>
    <row r="52" spans="1:16" ht="12.75" customHeight="1" thickBot="1" x14ac:dyDescent="0.25">
      <c r="A52" s="13" t="str">
        <f t="shared" si="0"/>
        <v>BAVM 68 </v>
      </c>
      <c r="B52" s="5" t="str">
        <f t="shared" si="1"/>
        <v>I</v>
      </c>
      <c r="C52" s="13">
        <f t="shared" si="2"/>
        <v>49172.464599999999</v>
      </c>
      <c r="D52" s="11" t="str">
        <f t="shared" si="3"/>
        <v>vis</v>
      </c>
      <c r="E52" s="55">
        <f>VLOOKUP(C52,Active!C$21:E$972,3,FALSE)</f>
        <v>19107.014189064219</v>
      </c>
      <c r="F52" s="5" t="s">
        <v>64</v>
      </c>
      <c r="G52" s="11" t="str">
        <f t="shared" si="4"/>
        <v>49172.4646</v>
      </c>
      <c r="H52" s="13">
        <f t="shared" si="5"/>
        <v>19107</v>
      </c>
      <c r="I52" s="56" t="s">
        <v>143</v>
      </c>
      <c r="J52" s="57" t="s">
        <v>144</v>
      </c>
      <c r="K52" s="56">
        <v>19107</v>
      </c>
      <c r="L52" s="56" t="s">
        <v>145</v>
      </c>
      <c r="M52" s="57" t="s">
        <v>146</v>
      </c>
      <c r="N52" s="57" t="s">
        <v>147</v>
      </c>
      <c r="O52" s="58" t="s">
        <v>148</v>
      </c>
      <c r="P52" s="59" t="s">
        <v>149</v>
      </c>
    </row>
    <row r="53" spans="1:16" ht="12.75" customHeight="1" thickBot="1" x14ac:dyDescent="0.25">
      <c r="A53" s="13" t="str">
        <f t="shared" si="0"/>
        <v>IBVS 5672 </v>
      </c>
      <c r="B53" s="5" t="str">
        <f t="shared" si="1"/>
        <v>I</v>
      </c>
      <c r="C53" s="13">
        <f t="shared" si="2"/>
        <v>53664.688000000002</v>
      </c>
      <c r="D53" s="11" t="str">
        <f t="shared" si="3"/>
        <v>vis</v>
      </c>
      <c r="E53" s="55" t="e">
        <f>VLOOKUP(C53,Active!C$21:E$972,3,FALSE)</f>
        <v>#N/A</v>
      </c>
      <c r="F53" s="5" t="s">
        <v>64</v>
      </c>
      <c r="G53" s="11" t="str">
        <f t="shared" si="4"/>
        <v>53664.688</v>
      </c>
      <c r="H53" s="13">
        <f t="shared" si="5"/>
        <v>25009</v>
      </c>
      <c r="I53" s="56" t="s">
        <v>175</v>
      </c>
      <c r="J53" s="57" t="s">
        <v>176</v>
      </c>
      <c r="K53" s="56" t="s">
        <v>177</v>
      </c>
      <c r="L53" s="56" t="s">
        <v>89</v>
      </c>
      <c r="M53" s="57" t="s">
        <v>146</v>
      </c>
      <c r="N53" s="57" t="s">
        <v>178</v>
      </c>
      <c r="O53" s="58" t="s">
        <v>179</v>
      </c>
      <c r="P53" s="59" t="s">
        <v>180</v>
      </c>
    </row>
    <row r="54" spans="1:16" ht="12.75" customHeight="1" thickBot="1" x14ac:dyDescent="0.25">
      <c r="A54" s="13" t="str">
        <f t="shared" si="0"/>
        <v>BAVM 203 </v>
      </c>
      <c r="B54" s="5" t="str">
        <f t="shared" si="1"/>
        <v>I</v>
      </c>
      <c r="C54" s="13">
        <f t="shared" si="2"/>
        <v>54720.375500000002</v>
      </c>
      <c r="D54" s="11" t="str">
        <f t="shared" si="3"/>
        <v>vis</v>
      </c>
      <c r="E54" s="55">
        <f>VLOOKUP(C54,Active!C$21:E$972,3,FALSE)</f>
        <v>26396.000205850156</v>
      </c>
      <c r="F54" s="5" t="s">
        <v>64</v>
      </c>
      <c r="G54" s="11" t="str">
        <f t="shared" si="4"/>
        <v>54720.3755</v>
      </c>
      <c r="H54" s="13">
        <f t="shared" si="5"/>
        <v>26396</v>
      </c>
      <c r="I54" s="56" t="s">
        <v>206</v>
      </c>
      <c r="J54" s="57" t="s">
        <v>207</v>
      </c>
      <c r="K54" s="56" t="s">
        <v>208</v>
      </c>
      <c r="L54" s="56" t="s">
        <v>209</v>
      </c>
      <c r="M54" s="57" t="s">
        <v>162</v>
      </c>
      <c r="N54" s="57" t="s">
        <v>147</v>
      </c>
      <c r="O54" s="58" t="s">
        <v>210</v>
      </c>
      <c r="P54" s="59" t="s">
        <v>211</v>
      </c>
    </row>
    <row r="55" spans="1:16" x14ac:dyDescent="0.2">
      <c r="B55" s="5"/>
      <c r="F55" s="5"/>
    </row>
    <row r="56" spans="1:16" x14ac:dyDescent="0.2">
      <c r="B56" s="5"/>
      <c r="F56" s="5"/>
    </row>
    <row r="57" spans="1:16" x14ac:dyDescent="0.2">
      <c r="B57" s="5"/>
      <c r="F57" s="5"/>
    </row>
    <row r="58" spans="1:16" x14ac:dyDescent="0.2">
      <c r="B58" s="5"/>
      <c r="F58" s="5"/>
    </row>
    <row r="59" spans="1:16" x14ac:dyDescent="0.2">
      <c r="B59" s="5"/>
      <c r="F59" s="5"/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</sheetData>
  <phoneticPr fontId="8" type="noConversion"/>
  <hyperlinks>
    <hyperlink ref="P52" r:id="rId1" display="http://www.bav-astro.de/sfs/BAVM_link.php?BAVMnr=68"/>
    <hyperlink ref="P11" r:id="rId2" display="http://www.bav-astro.de/sfs/BAVM_link.php?BAVMnr=111"/>
    <hyperlink ref="P12" r:id="rId3" display="http://www.bav-astro.de/sfs/BAVM_link.php?BAVMnr=132"/>
    <hyperlink ref="P14" r:id="rId4" display="http://www.bav-astro.de/sfs/BAVM_link.php?BAVMnr=178"/>
    <hyperlink ref="P15" r:id="rId5" display="http://www.bav-astro.de/sfs/BAVM_link.php?BAVMnr=178"/>
    <hyperlink ref="P53" r:id="rId6" display="http://www.konkoly.hu/cgi-bin/IBVS?5672"/>
    <hyperlink ref="P16" r:id="rId7" display="http://www.bav-astro.de/sfs/BAVM_link.php?BAVMnr=183"/>
    <hyperlink ref="P17" r:id="rId8" display="http://www.bav-astro.de/sfs/BAVM_link.php?BAVMnr=183"/>
    <hyperlink ref="P18" r:id="rId9" display="http://www.bav-astro.de/sfs/BAVM_link.php?BAVMnr=186"/>
    <hyperlink ref="P19" r:id="rId10" display="http://www.konkoly.hu/cgi-bin/IBVS?5820"/>
    <hyperlink ref="P20" r:id="rId11" display="http://www.bav-astro.de/sfs/BAVM_link.php?BAVMnr=201"/>
    <hyperlink ref="P54" r:id="rId12" display="http://www.bav-astro.de/sfs/BAVM_link.php?BAVMnr=203"/>
    <hyperlink ref="P21" r:id="rId13" display="http://www.konkoly.hu/cgi-bin/IBVS?5929"/>
    <hyperlink ref="P23" r:id="rId14" display="http://www.bav-astro.de/sfs/BAVM_link.php?BAVMnr=215"/>
    <hyperlink ref="P24" r:id="rId15" display="http://www.bav-astro.de/sfs/BAVM_link.php?BAVMnr=220"/>
    <hyperlink ref="P25" r:id="rId16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2023-01-13T04:00:53Z</dcterms:modified>
</cp:coreProperties>
</file>