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F995C7F-1F0D-41BD-9399-964208BE9129}" xr6:coauthVersionLast="47" xr6:coauthVersionMax="47" xr10:uidLastSave="{00000000-0000-0000-0000-000000000000}"/>
  <bookViews>
    <workbookView xWindow="13875" yWindow="360" windowWidth="13470" windowHeight="14565" xr2:uid="{00000000-000D-0000-FFFF-FFFF00000000}"/>
  </bookViews>
  <sheets>
    <sheet name="Active" sheetId="3" r:id="rId1"/>
    <sheet name="BAV" sheetId="4" r:id="rId2"/>
  </sheets>
  <calcPr calcId="181029"/>
</workbook>
</file>

<file path=xl/calcChain.xml><?xml version="1.0" encoding="utf-8"?>
<calcChain xmlns="http://schemas.openxmlformats.org/spreadsheetml/2006/main">
  <c r="E55" i="3" l="1"/>
  <c r="F55" i="3"/>
  <c r="G55" i="3"/>
  <c r="J55" i="3" s="1"/>
  <c r="Q55" i="3"/>
  <c r="E56" i="3"/>
  <c r="F56" i="3" s="1"/>
  <c r="G56" i="3" s="1"/>
  <c r="Q56" i="3"/>
  <c r="E57" i="3"/>
  <c r="F57" i="3"/>
  <c r="G57" i="3" s="1"/>
  <c r="Q57" i="3"/>
  <c r="E54" i="3"/>
  <c r="F54" i="3" s="1"/>
  <c r="G54" i="3" s="1"/>
  <c r="Q54" i="3"/>
  <c r="D9" i="3"/>
  <c r="C9" i="3"/>
  <c r="Q22" i="3"/>
  <c r="Q50" i="3"/>
  <c r="Q51" i="3"/>
  <c r="G36" i="4"/>
  <c r="C36" i="4"/>
  <c r="E36" i="4" s="1"/>
  <c r="C21" i="3"/>
  <c r="G35" i="4"/>
  <c r="C35" i="4" s="1"/>
  <c r="E35" i="4" s="1"/>
  <c r="G39" i="4"/>
  <c r="C39" i="4" s="1"/>
  <c r="E39" i="4" s="1"/>
  <c r="G38" i="4"/>
  <c r="C38" i="4"/>
  <c r="G34" i="4"/>
  <c r="C34" i="4" s="1"/>
  <c r="G33" i="4"/>
  <c r="C33" i="4" s="1"/>
  <c r="E33" i="4" s="1"/>
  <c r="G32" i="4"/>
  <c r="C32" i="4" s="1"/>
  <c r="E32" i="4" s="1"/>
  <c r="G31" i="4"/>
  <c r="C31" i="4"/>
  <c r="G30" i="4"/>
  <c r="C30" i="4" s="1"/>
  <c r="E30" i="4" s="1"/>
  <c r="G29" i="4"/>
  <c r="C29" i="4" s="1"/>
  <c r="E29" i="4" s="1"/>
  <c r="G28" i="4"/>
  <c r="C28" i="4" s="1"/>
  <c r="G27" i="4"/>
  <c r="C27" i="4"/>
  <c r="G26" i="4"/>
  <c r="C26" i="4" s="1"/>
  <c r="E26" i="4" s="1"/>
  <c r="G25" i="4"/>
  <c r="C25" i="4" s="1"/>
  <c r="E25" i="4" s="1"/>
  <c r="G24" i="4"/>
  <c r="C24" i="4" s="1"/>
  <c r="E24" i="4" s="1"/>
  <c r="G23" i="4"/>
  <c r="C23" i="4"/>
  <c r="G22" i="4"/>
  <c r="C22" i="4" s="1"/>
  <c r="E22" i="4" s="1"/>
  <c r="G21" i="4"/>
  <c r="C21" i="4" s="1"/>
  <c r="E21" i="4" s="1"/>
  <c r="G20" i="4"/>
  <c r="C20" i="4" s="1"/>
  <c r="E20" i="4" s="1"/>
  <c r="G19" i="4"/>
  <c r="C19" i="4"/>
  <c r="G18" i="4"/>
  <c r="C18" i="4" s="1"/>
  <c r="G17" i="4"/>
  <c r="C17" i="4" s="1"/>
  <c r="E17" i="4" s="1"/>
  <c r="G16" i="4"/>
  <c r="C16" i="4" s="1"/>
  <c r="E16" i="4" s="1"/>
  <c r="G15" i="4"/>
  <c r="C15" i="4"/>
  <c r="G14" i="4"/>
  <c r="C14" i="4" s="1"/>
  <c r="G13" i="4"/>
  <c r="C13" i="4" s="1"/>
  <c r="E13" i="4" s="1"/>
  <c r="G12" i="4"/>
  <c r="C12" i="4" s="1"/>
  <c r="E12" i="4" s="1"/>
  <c r="G11" i="4"/>
  <c r="C11" i="4" s="1"/>
  <c r="G37" i="4"/>
  <c r="C37" i="4" s="1"/>
  <c r="H36" i="4"/>
  <c r="B36" i="4" s="1"/>
  <c r="D36" i="4"/>
  <c r="A36" i="4"/>
  <c r="H35" i="4"/>
  <c r="B35" i="4" s="1"/>
  <c r="D35" i="4"/>
  <c r="A35" i="4"/>
  <c r="H39" i="4"/>
  <c r="B39" i="4" s="1"/>
  <c r="D39" i="4"/>
  <c r="A39" i="4"/>
  <c r="H38" i="4"/>
  <c r="B38" i="4" s="1"/>
  <c r="D38" i="4"/>
  <c r="A38" i="4"/>
  <c r="H34" i="4"/>
  <c r="B34" i="4" s="1"/>
  <c r="D34" i="4"/>
  <c r="A34" i="4"/>
  <c r="H33" i="4"/>
  <c r="B33" i="4" s="1"/>
  <c r="D33" i="4"/>
  <c r="A33" i="4"/>
  <c r="H32" i="4"/>
  <c r="B32" i="4" s="1"/>
  <c r="D32" i="4"/>
  <c r="A32" i="4"/>
  <c r="H31" i="4"/>
  <c r="B31" i="4" s="1"/>
  <c r="D31" i="4"/>
  <c r="A31" i="4"/>
  <c r="H30" i="4"/>
  <c r="B30" i="4" s="1"/>
  <c r="D30" i="4"/>
  <c r="A30" i="4"/>
  <c r="H29" i="4"/>
  <c r="B29" i="4" s="1"/>
  <c r="D29" i="4"/>
  <c r="A29" i="4"/>
  <c r="H28" i="4"/>
  <c r="B28" i="4" s="1"/>
  <c r="D28" i="4"/>
  <c r="A28" i="4"/>
  <c r="H27" i="4"/>
  <c r="B27" i="4" s="1"/>
  <c r="D27" i="4"/>
  <c r="A27" i="4"/>
  <c r="H26" i="4"/>
  <c r="B26" i="4" s="1"/>
  <c r="D26" i="4"/>
  <c r="A26" i="4"/>
  <c r="H25" i="4"/>
  <c r="B25" i="4" s="1"/>
  <c r="D25" i="4"/>
  <c r="A25" i="4"/>
  <c r="H24" i="4"/>
  <c r="B24" i="4" s="1"/>
  <c r="D24" i="4"/>
  <c r="A24" i="4"/>
  <c r="H23" i="4"/>
  <c r="B23" i="4" s="1"/>
  <c r="D23" i="4"/>
  <c r="A23" i="4"/>
  <c r="H22" i="4"/>
  <c r="B22" i="4" s="1"/>
  <c r="D22" i="4"/>
  <c r="A22" i="4"/>
  <c r="H21" i="4"/>
  <c r="B21" i="4" s="1"/>
  <c r="D21" i="4"/>
  <c r="A21" i="4"/>
  <c r="H20" i="4"/>
  <c r="B20" i="4" s="1"/>
  <c r="D20" i="4"/>
  <c r="A20" i="4"/>
  <c r="H19" i="4"/>
  <c r="B19" i="4" s="1"/>
  <c r="D19" i="4"/>
  <c r="A19" i="4"/>
  <c r="H18" i="4"/>
  <c r="B18" i="4" s="1"/>
  <c r="D18" i="4"/>
  <c r="A18" i="4"/>
  <c r="H17" i="4"/>
  <c r="B17" i="4" s="1"/>
  <c r="D17" i="4"/>
  <c r="A17" i="4"/>
  <c r="H16" i="4"/>
  <c r="B16" i="4" s="1"/>
  <c r="D16" i="4"/>
  <c r="A16" i="4"/>
  <c r="H15" i="4"/>
  <c r="B15" i="4" s="1"/>
  <c r="D15" i="4"/>
  <c r="A15" i="4"/>
  <c r="H14" i="4"/>
  <c r="B14" i="4" s="1"/>
  <c r="D14" i="4"/>
  <c r="A14" i="4"/>
  <c r="H13" i="4"/>
  <c r="B13" i="4" s="1"/>
  <c r="D13" i="4"/>
  <c r="A13" i="4"/>
  <c r="H12" i="4"/>
  <c r="B12" i="4" s="1"/>
  <c r="D12" i="4"/>
  <c r="A12" i="4"/>
  <c r="H11" i="4"/>
  <c r="B11" i="4" s="1"/>
  <c r="D11" i="4"/>
  <c r="A11" i="4"/>
  <c r="H37" i="4"/>
  <c r="B37" i="4" s="1"/>
  <c r="D37" i="4"/>
  <c r="A37" i="4"/>
  <c r="C7" i="3"/>
  <c r="G44" i="3" s="1"/>
  <c r="F16" i="3"/>
  <c r="F17" i="3" s="1"/>
  <c r="C17" i="3"/>
  <c r="Q21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7" i="3"/>
  <c r="Q36" i="3"/>
  <c r="Q39" i="3"/>
  <c r="Q38" i="3"/>
  <c r="Q40" i="3"/>
  <c r="Q41" i="3"/>
  <c r="Q42" i="3"/>
  <c r="Q43" i="3"/>
  <c r="Q44" i="3"/>
  <c r="Q45" i="3"/>
  <c r="Q46" i="3"/>
  <c r="Q47" i="3"/>
  <c r="Q52" i="3"/>
  <c r="Q48" i="3"/>
  <c r="Q49" i="3"/>
  <c r="Q53" i="3"/>
  <c r="E21" i="3"/>
  <c r="F21" i="3" s="1"/>
  <c r="G21" i="3" s="1"/>
  <c r="J21" i="3" s="1"/>
  <c r="E37" i="3"/>
  <c r="F37" i="3" s="1"/>
  <c r="G37" i="3" s="1"/>
  <c r="E44" i="3"/>
  <c r="F44" i="3"/>
  <c r="E51" i="3"/>
  <c r="F51" i="3" s="1"/>
  <c r="G51" i="3" s="1"/>
  <c r="E24" i="3"/>
  <c r="F24" i="3"/>
  <c r="E28" i="3"/>
  <c r="F28" i="3" s="1"/>
  <c r="G28" i="3" s="1"/>
  <c r="E40" i="3"/>
  <c r="F40" i="3" s="1"/>
  <c r="G40" i="3" s="1"/>
  <c r="E36" i="3"/>
  <c r="F36" i="3" s="1"/>
  <c r="G36" i="3" s="1"/>
  <c r="G24" i="3"/>
  <c r="K24" i="3" s="1"/>
  <c r="E34" i="3"/>
  <c r="F34" i="3"/>
  <c r="G34" i="3" s="1"/>
  <c r="G39" i="3"/>
  <c r="K39" i="3" s="1"/>
  <c r="E53" i="3"/>
  <c r="F53" i="3"/>
  <c r="G53" i="3" s="1"/>
  <c r="E50" i="3"/>
  <c r="E38" i="4" s="1"/>
  <c r="E32" i="3"/>
  <c r="F32" i="3"/>
  <c r="E31" i="3"/>
  <c r="F31" i="3" s="1"/>
  <c r="G31" i="3" s="1"/>
  <c r="E35" i="3"/>
  <c r="F35" i="3" s="1"/>
  <c r="G35" i="3" s="1"/>
  <c r="E48" i="3"/>
  <c r="F48" i="3"/>
  <c r="E25" i="3"/>
  <c r="F25" i="3"/>
  <c r="G25" i="3" s="1"/>
  <c r="E27" i="3"/>
  <c r="F27" i="3" s="1"/>
  <c r="G27" i="3" s="1"/>
  <c r="E29" i="3"/>
  <c r="F29" i="3" s="1"/>
  <c r="G29" i="3" s="1"/>
  <c r="E39" i="3"/>
  <c r="F39" i="3"/>
  <c r="E45" i="3"/>
  <c r="F45" i="3" s="1"/>
  <c r="G45" i="3" s="1"/>
  <c r="E38" i="3"/>
  <c r="F38" i="3" s="1"/>
  <c r="G38" i="3" s="1"/>
  <c r="E41" i="3"/>
  <c r="E52" i="3"/>
  <c r="F52" i="3" s="1"/>
  <c r="G52" i="3" s="1"/>
  <c r="E33" i="3"/>
  <c r="F33" i="3" s="1"/>
  <c r="G33" i="3" s="1"/>
  <c r="E47" i="3"/>
  <c r="F47" i="3"/>
  <c r="G47" i="3" s="1"/>
  <c r="F41" i="3"/>
  <c r="G41" i="3"/>
  <c r="J41" i="3" s="1"/>
  <c r="E19" i="4"/>
  <c r="E23" i="4"/>
  <c r="J57" i="3" l="1"/>
  <c r="J56" i="3"/>
  <c r="J54" i="3"/>
  <c r="V34" i="3"/>
  <c r="J34" i="3"/>
  <c r="V29" i="3"/>
  <c r="K29" i="3"/>
  <c r="K31" i="3"/>
  <c r="V31" i="3"/>
  <c r="K33" i="3"/>
  <c r="V33" i="3"/>
  <c r="V27" i="3"/>
  <c r="J27" i="3"/>
  <c r="V35" i="3"/>
  <c r="K35" i="3"/>
  <c r="K52" i="3"/>
  <c r="K25" i="3"/>
  <c r="V25" i="3"/>
  <c r="K36" i="3"/>
  <c r="V36" i="3"/>
  <c r="K37" i="3"/>
  <c r="V37" i="3"/>
  <c r="V40" i="3"/>
  <c r="J40" i="3"/>
  <c r="K51" i="3"/>
  <c r="K38" i="3"/>
  <c r="V38" i="3"/>
  <c r="J53" i="3"/>
  <c r="K28" i="3"/>
  <c r="V28" i="3"/>
  <c r="J44" i="3"/>
  <c r="J47" i="3"/>
  <c r="J45" i="3"/>
  <c r="F50" i="3"/>
  <c r="G50" i="3" s="1"/>
  <c r="V24" i="3"/>
  <c r="E23" i="3"/>
  <c r="F23" i="3" s="1"/>
  <c r="G23" i="3" s="1"/>
  <c r="E46" i="3"/>
  <c r="E22" i="3"/>
  <c r="F22" i="3" s="1"/>
  <c r="G22" i="3" s="1"/>
  <c r="E15" i="4"/>
  <c r="G48" i="3"/>
  <c r="G32" i="3"/>
  <c r="E43" i="3"/>
  <c r="F43" i="3" s="1"/>
  <c r="G43" i="3" s="1"/>
  <c r="E42" i="3"/>
  <c r="E30" i="3"/>
  <c r="F30" i="3" s="1"/>
  <c r="G30" i="3" s="1"/>
  <c r="E49" i="3"/>
  <c r="F49" i="3" s="1"/>
  <c r="G49" i="3" s="1"/>
  <c r="E26" i="3"/>
  <c r="F26" i="3" s="1"/>
  <c r="G26" i="3" s="1"/>
  <c r="V39" i="3"/>
  <c r="J43" i="3" l="1"/>
  <c r="J26" i="3"/>
  <c r="V26" i="3"/>
  <c r="J49" i="3"/>
  <c r="V30" i="3"/>
  <c r="K30" i="3"/>
  <c r="J32" i="3"/>
  <c r="V32" i="3"/>
  <c r="E28" i="4"/>
  <c r="E14" i="4"/>
  <c r="J48" i="3"/>
  <c r="V23" i="3"/>
  <c r="K23" i="3"/>
  <c r="I22" i="3"/>
  <c r="E37" i="4"/>
  <c r="E34" i="4"/>
  <c r="K50" i="3"/>
  <c r="F46" i="3"/>
  <c r="G46" i="3" s="1"/>
  <c r="E31" i="4"/>
  <c r="E18" i="4"/>
  <c r="F42" i="3"/>
  <c r="G42" i="3" s="1"/>
  <c r="E27" i="4"/>
  <c r="E11" i="4"/>
  <c r="C12" i="3"/>
  <c r="C11" i="3"/>
  <c r="O56" i="3" l="1"/>
  <c r="V56" i="3" s="1"/>
  <c r="O55" i="3"/>
  <c r="V55" i="3" s="1"/>
  <c r="O57" i="3"/>
  <c r="V57" i="3" s="1"/>
  <c r="O54" i="3"/>
  <c r="V54" i="3" s="1"/>
  <c r="C16" i="3"/>
  <c r="D18" i="3" s="1"/>
  <c r="O49" i="3"/>
  <c r="V49" i="3" s="1"/>
  <c r="O50" i="3"/>
  <c r="V50" i="3" s="1"/>
  <c r="O44" i="3"/>
  <c r="V44" i="3" s="1"/>
  <c r="O22" i="3"/>
  <c r="V22" i="3" s="1"/>
  <c r="O52" i="3"/>
  <c r="V52" i="3" s="1"/>
  <c r="O43" i="3"/>
  <c r="V43" i="3" s="1"/>
  <c r="O48" i="3"/>
  <c r="V48" i="3" s="1"/>
  <c r="O51" i="3"/>
  <c r="V51" i="3" s="1"/>
  <c r="O41" i="3"/>
  <c r="V41" i="3" s="1"/>
  <c r="O42" i="3"/>
  <c r="V42" i="3" s="1"/>
  <c r="O47" i="3"/>
  <c r="V47" i="3" s="1"/>
  <c r="C15" i="3"/>
  <c r="O45" i="3"/>
  <c r="V45" i="3" s="1"/>
  <c r="O46" i="3"/>
  <c r="V46" i="3" s="1"/>
  <c r="O53" i="3"/>
  <c r="V53" i="3" s="1"/>
  <c r="J46" i="3"/>
  <c r="J42" i="3"/>
  <c r="C18" i="3" l="1"/>
  <c r="F18" i="3"/>
  <c r="F19" i="3" s="1"/>
  <c r="V15" i="3"/>
  <c r="V16" i="3"/>
  <c r="V17" i="3" l="1"/>
</calcChain>
</file>

<file path=xl/sharedStrings.xml><?xml version="1.0" encoding="utf-8"?>
<sst xmlns="http://schemas.openxmlformats.org/spreadsheetml/2006/main" count="369" uniqueCount="205">
  <si>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</si>
  <si>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</si>
  <si>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</si>
  <si>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</si>
  <si>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</si>
  <si>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</si>
  <si>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</si>
  <si>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</si>
  <si>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</si>
  <si>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</si>
  <si>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</si>
  <si>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</si>
  <si>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</si>
  <si>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</si>
  <si>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</si>
  <si>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</si>
  <si>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</si>
  <si>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</si>
  <si>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</si>
  <si>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</si>
  <si>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</si>
  <si>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</si>
  <si>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</si>
  <si>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</si>
  <si>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</si>
  <si>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</si>
  <si>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 xml:space="preserve">EW/KW     </t>
  </si>
  <si>
    <t>I</t>
  </si>
  <si>
    <t>na</t>
  </si>
  <si>
    <t>Misc</t>
  </si>
  <si>
    <t>IBVS 5263</t>
  </si>
  <si>
    <t>E.Bl„ttler BBS 121</t>
  </si>
  <si>
    <t>IBVS 5287</t>
  </si>
  <si>
    <t>E.Bl„ttler BBS 124</t>
  </si>
  <si>
    <t>F.Agerer BAVM</t>
  </si>
  <si>
    <t>Krajci</t>
  </si>
  <si>
    <t>II</t>
  </si>
  <si>
    <t>IBVS 5643</t>
  </si>
  <si>
    <t>IBVS 5690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</si>
  <si>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</si>
  <si>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</si>
  <si>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</si>
  <si>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</si>
  <si>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</si>
  <si>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</si>
  <si>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</si>
  <si>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</si>
  <si>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Start of linear fit &gt;&gt;&gt;&gt;&gt;&gt;&gt;&gt;&gt;&gt;&gt;&gt;&gt;&gt;&gt;&gt;&gt;&gt;&gt;&gt;&gt;</t>
  </si>
  <si>
    <t>OEJV 0074</t>
  </si>
  <si>
    <t>CCD</t>
  </si>
  <si>
    <t>CCD+C</t>
  </si>
  <si>
    <t>Add cycle</t>
  </si>
  <si>
    <t>Old Cycle</t>
  </si>
  <si>
    <t>IBVS 5918</t>
  </si>
  <si>
    <t>IBVS 6094</t>
  </si>
  <si>
    <t>i</t>
  </si>
  <si>
    <t>BAD?</t>
  </si>
  <si>
    <t>IBVS 5984</t>
  </si>
  <si>
    <t>IBVS 6152</t>
  </si>
  <si>
    <r>
      <t>diff</t>
    </r>
    <r>
      <rPr>
        <b/>
        <vertAlign val="superscript"/>
        <sz val="10"/>
        <rFont val="Arial"/>
        <family val="2"/>
      </rPr>
      <t>2</t>
    </r>
  </si>
  <si>
    <t>pg</t>
  </si>
  <si>
    <t>vis</t>
  </si>
  <si>
    <t>PE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</si>
  <si>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</si>
  <si>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</si>
  <si>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</si>
  <si>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</si>
  <si>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</si>
  <si>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</si>
  <si>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</si>
  <si>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</si>
  <si>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2447791.405 </t>
  </si>
  <si>
    <t> 21.09.1989 21:43 </t>
  </si>
  <si>
    <t> -0.023 </t>
  </si>
  <si>
    <t> P.Frank </t>
  </si>
  <si>
    <t>BAVM 179 </t>
  </si>
  <si>
    <t>2451378.4536 </t>
  </si>
  <si>
    <t> 18.07.1999 22:53 </t>
  </si>
  <si>
    <t> -0.0022 </t>
  </si>
  <si>
    <t>E </t>
  </si>
  <si>
    <t>?</t>
  </si>
  <si>
    <t> M.Zejda </t>
  </si>
  <si>
    <t>IBVS 5263 </t>
  </si>
  <si>
    <t>2451462.2943 </t>
  </si>
  <si>
    <t> 10.10.1999 19:03 </t>
  </si>
  <si>
    <t> 0.0023 </t>
  </si>
  <si>
    <t> E.Blättler </t>
  </si>
  <si>
    <t> BBS 121 </t>
  </si>
  <si>
    <t>2451635.6161 </t>
  </si>
  <si>
    <t> 01.04.2000 02:47 </t>
  </si>
  <si>
    <t> 0.0171 </t>
  </si>
  <si>
    <t>IBVS 5287 </t>
  </si>
  <si>
    <t>2451799.3686 </t>
  </si>
  <si>
    <t> 11.09.2000 20:50 </t>
  </si>
  <si>
    <t> 0.0244 </t>
  </si>
  <si>
    <t>o</t>
  </si>
  <si>
    <t> F.Agerer </t>
  </si>
  <si>
    <t>BAVM 172 </t>
  </si>
  <si>
    <t>2451799.5411 </t>
  </si>
  <si>
    <t> 12.09.2000 00:59 </t>
  </si>
  <si>
    <t> 0.0262 </t>
  </si>
  <si>
    <t>2451806.362 </t>
  </si>
  <si>
    <t> 18.09.2000 20:41 </t>
  </si>
  <si>
    <t> 0.017 </t>
  </si>
  <si>
    <t> BBS 124 </t>
  </si>
  <si>
    <t>2451806.543 </t>
  </si>
  <si>
    <t> 19.09.2000 01:01 </t>
  </si>
  <si>
    <t> 0.027 </t>
  </si>
  <si>
    <t>2452133.53970 </t>
  </si>
  <si>
    <t> 12.08.2001 00:57 </t>
  </si>
  <si>
    <t> 0.04602 </t>
  </si>
  <si>
    <t>C </t>
  </si>
  <si>
    <t> Koss &amp; Lutcha </t>
  </si>
  <si>
    <t>OEJV 0074 </t>
  </si>
  <si>
    <t>2452463.4391 </t>
  </si>
  <si>
    <t> 07.07.2002 22:32 </t>
  </si>
  <si>
    <t> 0.0646 </t>
  </si>
  <si>
    <t>2452490.41620 </t>
  </si>
  <si>
    <t> 03.08.2002 21:59 </t>
  </si>
  <si>
    <t> 0.06383 </t>
  </si>
  <si>
    <t> K.Koss </t>
  </si>
  <si>
    <t>2452876.4951 </t>
  </si>
  <si>
    <t> 24.08.2003 23:52 </t>
  </si>
  <si>
    <t> 0.0865 </t>
  </si>
  <si>
    <t>2453228.42028 </t>
  </si>
  <si>
    <t> 10.08.2004 22:05 </t>
  </si>
  <si>
    <t> 0.10463 </t>
  </si>
  <si>
    <t> Motl et al. </t>
  </si>
  <si>
    <t>2453297.5772 </t>
  </si>
  <si>
    <t> 19.10.2004 01:51 </t>
  </si>
  <si>
    <t> 0.1095 </t>
  </si>
  <si>
    <t> T.Krajci </t>
  </si>
  <si>
    <t>IBVS 5690 </t>
  </si>
  <si>
    <t>2453306.6318 </t>
  </si>
  <si>
    <t> 28.10.2004 03:09 </t>
  </si>
  <si>
    <t> 0.1146 </t>
  </si>
  <si>
    <t>2453578.4719 </t>
  </si>
  <si>
    <t> 26.07.2005 23:19 </t>
  </si>
  <si>
    <t> 0.1274 </t>
  </si>
  <si>
    <t>-I</t>
  </si>
  <si>
    <t>BAVM 178 </t>
  </si>
  <si>
    <t>2453602.3761 </t>
  </si>
  <si>
    <t> 19.08.2005 21:01 </t>
  </si>
  <si>
    <t>57008</t>
  </si>
  <si>
    <t> 0.1272 </t>
  </si>
  <si>
    <t>2453613.4755 </t>
  </si>
  <si>
    <t> 30.08.2005 23:24 </t>
  </si>
  <si>
    <t>57040.5</t>
  </si>
  <si>
    <t> 0.1281 </t>
  </si>
  <si>
    <t>2453681.2624 </t>
  </si>
  <si>
    <t> 06.11.2005 18:17 </t>
  </si>
  <si>
    <t>57239</t>
  </si>
  <si>
    <t> 0.1289 </t>
  </si>
  <si>
    <t> U.Schmidt </t>
  </si>
  <si>
    <t>2453992.3853 </t>
  </si>
  <si>
    <t> 13.09.2006 21:14 </t>
  </si>
  <si>
    <t>58150</t>
  </si>
  <si>
    <t> 0.1530 </t>
  </si>
  <si>
    <t>BAVM 183 </t>
  </si>
  <si>
    <t>2453992.5529 </t>
  </si>
  <si>
    <t> 14.09.2006 01:16 </t>
  </si>
  <si>
    <t>58150.5</t>
  </si>
  <si>
    <t> 0.1499 </t>
  </si>
  <si>
    <t>2454023.2919 </t>
  </si>
  <si>
    <t> 14.10.2006 19:00 </t>
  </si>
  <si>
    <t>58240.5</t>
  </si>
  <si>
    <t> 0.1546 </t>
  </si>
  <si>
    <t>2454512.6809 </t>
  </si>
  <si>
    <t> 16.02.2008 04:20 </t>
  </si>
  <si>
    <t>59673.5</t>
  </si>
  <si>
    <t> 0.1862 </t>
  </si>
  <si>
    <t> W.Moschner &amp; P.Frank </t>
  </si>
  <si>
    <t>BAVM 209 </t>
  </si>
  <si>
    <t>2455478.3105 </t>
  </si>
  <si>
    <t> 08.10.2010 19:27 </t>
  </si>
  <si>
    <t>62501</t>
  </si>
  <si>
    <t> 0.2484 </t>
  </si>
  <si>
    <t>BAVM 215 </t>
  </si>
  <si>
    <t>2455478.4809 </t>
  </si>
  <si>
    <t> 08.10.2010 23:32 </t>
  </si>
  <si>
    <t>62501.5</t>
  </si>
  <si>
    <t> 0.2480 </t>
  </si>
  <si>
    <t>2455801.3831 </t>
  </si>
  <si>
    <t> 27.08.2011 21:11 </t>
  </si>
  <si>
    <t>63447</t>
  </si>
  <si>
    <t> 0.2700 </t>
  </si>
  <si>
    <t>BAVM 225 </t>
  </si>
  <si>
    <t>2455801.5526 </t>
  </si>
  <si>
    <t> 28.08.2011 01:15 </t>
  </si>
  <si>
    <t>63447.5</t>
  </si>
  <si>
    <t> 0.2687 </t>
  </si>
  <si>
    <t>2456456.4112 </t>
  </si>
  <si>
    <t> 12.06.2013 21:52 </t>
  </si>
  <si>
    <t>65365</t>
  </si>
  <si>
    <t> 0.3172 </t>
  </si>
  <si>
    <t> F.Salvaggio </t>
  </si>
  <si>
    <t>IBVS 6094 </t>
  </si>
  <si>
    <t>2456943.4085 </t>
  </si>
  <si>
    <t> 12.10.2014 21:48 </t>
  </si>
  <si>
    <t>66791</t>
  </si>
  <si>
    <t> 0.3475 </t>
  </si>
  <si>
    <t>BAVM 239 </t>
  </si>
  <si>
    <t>JBAV, 60</t>
  </si>
  <si>
    <t>JBAV, 76</t>
  </si>
  <si>
    <t>V0931 Cyg /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</si>
</sst>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8" formatCode="0.000000"/>
  </numFmts>
  <fonts count="2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trike/>
      <sz val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1" applyNumberFormat="0" applyFont="0" applyFill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0" xfId="0" applyFont="1" applyAlignment="1"/>
    <xf numFmtId="0" fontId="0" fillId="0" borderId="3" xfId="0" applyBorder="1" applyAlignment="1"/>
    <xf numFmtId="0" fontId="9" fillId="0" borderId="0" xfId="0" applyFont="1" applyAlignment="1"/>
    <xf numFmtId="0" fontId="0" fillId="0" borderId="0" xfId="0" applyAlignment="1">
      <alignment vertical="center"/>
    </xf>
    <xf numFmtId="0" fontId="10" fillId="0" borderId="4" xfId="0" applyFont="1" applyBorder="1" applyAlignment="1"/>
    <xf numFmtId="0" fontId="0" fillId="0" borderId="0" xfId="0">
      <alignment vertical="top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12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/>
    <xf numFmtId="0" fontId="15" fillId="0" borderId="0" xfId="0" applyFont="1">
      <alignment vertical="top"/>
    </xf>
    <xf numFmtId="0" fontId="11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165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8" fillId="0" borderId="2" xfId="0" applyFont="1" applyBorder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1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1" fillId="2" borderId="11" xfId="7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68" fontId="16" fillId="0" borderId="0" xfId="0" applyNumberFormat="1" applyFont="1" applyAlignment="1">
      <alignment horizontal="left" vertical="center"/>
    </xf>
    <xf numFmtId="168" fontId="17" fillId="0" borderId="0" xfId="0" applyNumberFormat="1" applyFont="1" applyAlignment="1">
      <alignment horizontal="left"/>
    </xf>
    <xf numFmtId="168" fontId="22" fillId="0" borderId="0" xfId="0" applyNumberFormat="1" applyFont="1" applyAlignment="1">
      <alignment horizontal="left" vertical="center"/>
    </xf>
    <xf numFmtId="168" fontId="16" fillId="0" borderId="0" xfId="0" applyNumberFormat="1" applyFont="1" applyAlignment="1">
      <alignment horizontal="left" wrapText="1"/>
    </xf>
    <xf numFmtId="168" fontId="17" fillId="0" borderId="0" xfId="0" applyNumberFormat="1" applyFont="1" applyAlignment="1">
      <alignment horizontal="left" wrapText="1"/>
    </xf>
    <xf numFmtId="168" fontId="24" fillId="0" borderId="0" xfId="0" applyNumberFormat="1" applyFont="1" applyAlignment="1">
      <alignment horizontal="left" vertical="center" wrapText="1"/>
    </xf>
    <xf numFmtId="168" fontId="24" fillId="0" borderId="0" xfId="0" applyNumberFormat="1" applyFont="1" applyAlignment="1" applyProtection="1">
      <alignment horizontal="left" vertical="center" wrapText="1"/>
      <protection locked="0"/>
    </xf>
    <xf numFmtId="168" fontId="0" fillId="0" borderId="0" xfId="0" applyNumberFormat="1" applyAlignment="1">
      <alignment horizontal="lef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V0931 Cyg - O-C Diagr.</a:t>
            </a:r>
          </a:p>
        </c:rich>
      </c:tx>
      <c:layout>
        <c:manualLayout>
          <c:xMode val="edge"/>
          <c:yMode val="edge"/>
          <c:x val="0.3677978621008399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96775290267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Active!$C$21:$C$1967</c:f>
                <c:numCache>
                  <c:formatCode>General</c:formatCode>
                  <c:ptCount val="1947"/>
                  <c:pt idx="0">
                    <c:v>34134.497499999998</c:v>
                  </c:pt>
                  <c:pt idx="1">
                    <c:v>47791.404999999999</c:v>
                  </c:pt>
                  <c:pt idx="2">
                    <c:v>51378.453600000001</c:v>
                  </c:pt>
                  <c:pt idx="3">
                    <c:v>51462.294300000001</c:v>
                  </c:pt>
                  <c:pt idx="4">
                    <c:v>51635.616099999999</c:v>
                  </c:pt>
                  <c:pt idx="5">
                    <c:v>51799.368600000002</c:v>
                  </c:pt>
                  <c:pt idx="6">
                    <c:v>51799.541100000002</c:v>
                  </c:pt>
                  <c:pt idx="7">
                    <c:v>51806.362000000001</c:v>
                  </c:pt>
                  <c:pt idx="8">
                    <c:v>51806.542999999998</c:v>
                  </c:pt>
                  <c:pt idx="9">
                    <c:v>52133.539700000001</c:v>
                  </c:pt>
                  <c:pt idx="10">
                    <c:v>52463.439100000003</c:v>
                  </c:pt>
                  <c:pt idx="11">
                    <c:v>52463.439100000003</c:v>
                  </c:pt>
                  <c:pt idx="12">
                    <c:v>52490.4162</c:v>
                  </c:pt>
                  <c:pt idx="13">
                    <c:v>52876.4951</c:v>
                  </c:pt>
                  <c:pt idx="14">
                    <c:v>53228.420279999998</c:v>
                  </c:pt>
                  <c:pt idx="15">
                    <c:v>53297.5772</c:v>
                  </c:pt>
                  <c:pt idx="16">
                    <c:v>53297.5772</c:v>
                  </c:pt>
                  <c:pt idx="17">
                    <c:v>53306.631800000003</c:v>
                  </c:pt>
                  <c:pt idx="18">
                    <c:v>53306.631800000003</c:v>
                  </c:pt>
                  <c:pt idx="19">
                    <c:v>53578.471899999997</c:v>
                  </c:pt>
                  <c:pt idx="20">
                    <c:v>53602.376100000001</c:v>
                  </c:pt>
                  <c:pt idx="21">
                    <c:v>53613.4755</c:v>
                  </c:pt>
                  <c:pt idx="22">
                    <c:v>53681.2624</c:v>
                  </c:pt>
                  <c:pt idx="23">
                    <c:v>53992.385300000002</c:v>
                  </c:pt>
                  <c:pt idx="24">
                    <c:v>53992.552900000002</c:v>
                  </c:pt>
                  <c:pt idx="25">
                    <c:v>54023.291899999997</c:v>
                  </c:pt>
                  <c:pt idx="26">
                    <c:v>54512.680899999999</c:v>
                  </c:pt>
                  <c:pt idx="27">
                    <c:v>55478.3105</c:v>
                  </c:pt>
                  <c:pt idx="28">
                    <c:v>55478.480900000002</c:v>
                  </c:pt>
                  <c:pt idx="29">
                    <c:v>55801.383099999999</c:v>
                  </c:pt>
                  <c:pt idx="30">
                    <c:v>55801.552600000003</c:v>
                  </c:pt>
                  <c:pt idx="31">
                    <c:v>56456.411200000002</c:v>
                  </c:pt>
                  <c:pt idx="32">
                    <c:v>56943.408499999998</c:v>
                  </c:pt>
                  <c:pt idx="33">
                    <c:v>59480.367599999903</c:v>
                  </c:pt>
                  <c:pt idx="34">
                    <c:v>59828.366699999999</c:v>
                  </c:pt>
                  <c:pt idx="35">
                    <c:v>59835.371599999999</c:v>
                  </c:pt>
                  <c:pt idx="36">
                    <c:v>59835.538099999998</c:v>
                  </c:pt>
                </c:numCache>
              </c:numRef>
            </c:plus>
            <c:minus>
              <c:numRef>
                <c:f>Active!$C$21:$C$1967</c:f>
                <c:numCache>
                  <c:formatCode>General</c:formatCode>
                  <c:ptCount val="1947"/>
                  <c:pt idx="0">
                    <c:v>34134.497499999998</c:v>
                  </c:pt>
                  <c:pt idx="1">
                    <c:v>47791.404999999999</c:v>
                  </c:pt>
                  <c:pt idx="2">
                    <c:v>51378.453600000001</c:v>
                  </c:pt>
                  <c:pt idx="3">
                    <c:v>51462.294300000001</c:v>
                  </c:pt>
                  <c:pt idx="4">
                    <c:v>51635.616099999999</c:v>
                  </c:pt>
                  <c:pt idx="5">
                    <c:v>51799.368600000002</c:v>
                  </c:pt>
                  <c:pt idx="6">
                    <c:v>51799.541100000002</c:v>
                  </c:pt>
                  <c:pt idx="7">
                    <c:v>51806.362000000001</c:v>
                  </c:pt>
                  <c:pt idx="8">
                    <c:v>51806.542999999998</c:v>
                  </c:pt>
                  <c:pt idx="9">
                    <c:v>52133.539700000001</c:v>
                  </c:pt>
                  <c:pt idx="10">
                    <c:v>52463.439100000003</c:v>
                  </c:pt>
                  <c:pt idx="11">
                    <c:v>52463.439100000003</c:v>
                  </c:pt>
                  <c:pt idx="12">
                    <c:v>52490.4162</c:v>
                  </c:pt>
                  <c:pt idx="13">
                    <c:v>52876.4951</c:v>
                  </c:pt>
                  <c:pt idx="14">
                    <c:v>53228.420279999998</c:v>
                  </c:pt>
                  <c:pt idx="15">
                    <c:v>53297.5772</c:v>
                  </c:pt>
                  <c:pt idx="16">
                    <c:v>53297.5772</c:v>
                  </c:pt>
                  <c:pt idx="17">
                    <c:v>53306.631800000003</c:v>
                  </c:pt>
                  <c:pt idx="18">
                    <c:v>53306.631800000003</c:v>
                  </c:pt>
                  <c:pt idx="19">
                    <c:v>53578.471899999997</c:v>
                  </c:pt>
                  <c:pt idx="20">
                    <c:v>53602.376100000001</c:v>
                  </c:pt>
                  <c:pt idx="21">
                    <c:v>53613.4755</c:v>
                  </c:pt>
                  <c:pt idx="22">
                    <c:v>53681.2624</c:v>
                  </c:pt>
                  <c:pt idx="23">
                    <c:v>53992.385300000002</c:v>
                  </c:pt>
                  <c:pt idx="24">
                    <c:v>53992.552900000002</c:v>
                  </c:pt>
                  <c:pt idx="25">
                    <c:v>54023.291899999997</c:v>
                  </c:pt>
                  <c:pt idx="26">
                    <c:v>54512.680899999999</c:v>
                  </c:pt>
                  <c:pt idx="27">
                    <c:v>55478.3105</c:v>
                  </c:pt>
                  <c:pt idx="28">
                    <c:v>55478.480900000002</c:v>
                  </c:pt>
                  <c:pt idx="29">
                    <c:v>55801.383099999999</c:v>
                  </c:pt>
                  <c:pt idx="30">
                    <c:v>55801.552600000003</c:v>
                  </c:pt>
                  <c:pt idx="31">
                    <c:v>56456.411200000002</c:v>
                  </c:pt>
                  <c:pt idx="32">
                    <c:v>56943.408499999998</c:v>
                  </c:pt>
                  <c:pt idx="33">
                    <c:v>59480.367599999903</c:v>
                  </c:pt>
                  <c:pt idx="34">
                    <c:v>59828.366699999999</c:v>
                  </c:pt>
                  <c:pt idx="35">
                    <c:v>59835.371599999999</c:v>
                  </c:pt>
                  <c:pt idx="36">
                    <c:v>59835.538099999998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Active!$H$21:$H$966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32-45F1-B844-966FAC038A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1.8E-3</c:v>
                  </c:pt>
                  <c:pt idx="4">
                    <c:v>2.2000000000000001E-3</c:v>
                  </c:pt>
                  <c:pt idx="5">
                    <c:v>6.9999999999999999E-4</c:v>
                  </c:pt>
                  <c:pt idx="6">
                    <c:v>1.5E-3</c:v>
                  </c:pt>
                  <c:pt idx="9">
                    <c:v>0</c:v>
                  </c:pt>
                  <c:pt idx="11">
                    <c:v>5.0000000000000001E-4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5.0000000000000001E-4</c:v>
                  </c:pt>
                  <c:pt idx="19">
                    <c:v>1.9E-3</c:v>
                  </c:pt>
                  <c:pt idx="20">
                    <c:v>5.0000000000000001E-4</c:v>
                  </c:pt>
                  <c:pt idx="21">
                    <c:v>2.5999999999999999E-3</c:v>
                  </c:pt>
                  <c:pt idx="22">
                    <c:v>1.6999999999999999E-3</c:v>
                  </c:pt>
                  <c:pt idx="23">
                    <c:v>2.0000000000000001E-4</c:v>
                  </c:pt>
                  <c:pt idx="24">
                    <c:v>1.1999999999999999E-3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1.6999999999999999E-3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5.9999999999999995E-4</c:v>
                  </c:pt>
                  <c:pt idx="35">
                    <c:v>4.0000000000000002E-4</c:v>
                  </c:pt>
                  <c:pt idx="36">
                    <c:v>5.0000000000000001E-4</c:v>
                  </c:pt>
                </c:numCache>
              </c:numRef>
            </c:plus>
            <c:min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1.8E-3</c:v>
                  </c:pt>
                  <c:pt idx="4">
                    <c:v>2.2000000000000001E-3</c:v>
                  </c:pt>
                  <c:pt idx="5">
                    <c:v>6.9999999999999999E-4</c:v>
                  </c:pt>
                  <c:pt idx="6">
                    <c:v>1.5E-3</c:v>
                  </c:pt>
                  <c:pt idx="9">
                    <c:v>0</c:v>
                  </c:pt>
                  <c:pt idx="11">
                    <c:v>5.0000000000000001E-4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5.0000000000000001E-4</c:v>
                  </c:pt>
                  <c:pt idx="19">
                    <c:v>1.9E-3</c:v>
                  </c:pt>
                  <c:pt idx="20">
                    <c:v>5.0000000000000001E-4</c:v>
                  </c:pt>
                  <c:pt idx="21">
                    <c:v>2.5999999999999999E-3</c:v>
                  </c:pt>
                  <c:pt idx="22">
                    <c:v>1.6999999999999999E-3</c:v>
                  </c:pt>
                  <c:pt idx="23">
                    <c:v>2.0000000000000001E-4</c:v>
                  </c:pt>
                  <c:pt idx="24">
                    <c:v>1.1999999999999999E-3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1.6999999999999999E-3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5.9999999999999995E-4</c:v>
                  </c:pt>
                  <c:pt idx="35">
                    <c:v>4.0000000000000002E-4</c:v>
                  </c:pt>
                  <c:pt idx="3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Active!$I$21:$I$966</c:f>
              <c:numCache>
                <c:formatCode>General</c:formatCode>
                <c:ptCount val="946"/>
                <c:pt idx="1">
                  <c:v>4.3307819432811812E-3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32-45F1-B844-966FAC038A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Active!$J$21:$J$966</c:f>
              <c:numCache>
                <c:formatCode>General</c:formatCode>
                <c:ptCount val="946"/>
                <c:pt idx="0">
                  <c:v>0</c:v>
                </c:pt>
                <c:pt idx="5">
                  <c:v>-1.9555781851522624E-2</c:v>
                </c:pt>
                <c:pt idx="6">
                  <c:v>-1.781189494067803E-2</c:v>
                </c:pt>
                <c:pt idx="11">
                  <c:v>-1.9579607964260504E-2</c:v>
                </c:pt>
                <c:pt idx="13">
                  <c:v>-2.2617184564296622E-2</c:v>
                </c:pt>
                <c:pt idx="19">
                  <c:v>-2.4198117753257975E-2</c:v>
                </c:pt>
                <c:pt idx="20">
                  <c:v>-2.5853951039607637E-2</c:v>
                </c:pt>
                <c:pt idx="21">
                  <c:v>-2.5601302208087873E-2</c:v>
                </c:pt>
                <c:pt idx="22">
                  <c:v>-2.887820089381421E-2</c:v>
                </c:pt>
                <c:pt idx="23">
                  <c:v>-2.3616259823029395E-2</c:v>
                </c:pt>
                <c:pt idx="24">
                  <c:v>-2.6772372912091669E-2</c:v>
                </c:pt>
                <c:pt idx="25">
                  <c:v>-2.3872730002040043E-2</c:v>
                </c:pt>
                <c:pt idx="26">
                  <c:v>-2.1892860022489913E-2</c:v>
                </c:pt>
                <c:pt idx="27">
                  <c:v>-1.8112411758920643E-2</c:v>
                </c:pt>
                <c:pt idx="28">
                  <c:v>-1.846852484595729E-2</c:v>
                </c:pt>
                <c:pt idx="32">
                  <c:v>-7.5627661062753759E-3</c:v>
                </c:pt>
                <c:pt idx="33">
                  <c:v>2.796498266980052E-2</c:v>
                </c:pt>
                <c:pt idx="34">
                  <c:v>2.6106495337444358E-2</c:v>
                </c:pt>
                <c:pt idx="35">
                  <c:v>3.000585843983572E-2</c:v>
                </c:pt>
                <c:pt idx="36">
                  <c:v>2.5749745349457953E-2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32-45F1-B844-966FAC038A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Active!$K$21:$K$966</c:f>
              <c:numCache>
                <c:formatCode>General</c:formatCode>
                <c:ptCount val="946"/>
                <c:pt idx="2">
                  <c:v>-2.0737002887472045E-2</c:v>
                </c:pt>
                <c:pt idx="3">
                  <c:v>-2.1288532494509127E-2</c:v>
                </c:pt>
                <c:pt idx="4">
                  <c:v>-1.6943323833402246E-2</c:v>
                </c:pt>
                <c:pt idx="7">
                  <c:v>-2.7156418742379174E-2</c:v>
                </c:pt>
                <c:pt idx="8">
                  <c:v>-1.6912531842535827E-2</c:v>
                </c:pt>
                <c:pt idx="9">
                  <c:v>-1.8169108596339356E-2</c:v>
                </c:pt>
                <c:pt idx="10">
                  <c:v>-1.9579607964260504E-2</c:v>
                </c:pt>
                <c:pt idx="12">
                  <c:v>-2.1945476961263921E-2</c:v>
                </c:pt>
                <c:pt idx="14">
                  <c:v>-2.5786273181438446E-2</c:v>
                </c:pt>
                <c:pt idx="15">
                  <c:v>-2.5092076619330328E-2</c:v>
                </c:pt>
                <c:pt idx="16">
                  <c:v>-2.5092076619330328E-2</c:v>
                </c:pt>
                <c:pt idx="17">
                  <c:v>-2.0566070648783352E-2</c:v>
                </c:pt>
                <c:pt idx="18">
                  <c:v>-2.0566070648783352E-2</c:v>
                </c:pt>
                <c:pt idx="29">
                  <c:v>-1.6078387336165179E-2</c:v>
                </c:pt>
                <c:pt idx="30">
                  <c:v>-1.7334500422293786E-2</c:v>
                </c:pt>
                <c:pt idx="31">
                  <c:v>-8.4282194147817791E-3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32-45F1-B844-966FAC038A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Active!$L$21:$L$966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32-45F1-B844-966FAC038A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Active!$M$21:$M$966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32-45F1-B844-966FAC038A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Active!$N$21:$N$966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32-45F1-B844-966FAC038A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Active!$O$21:$O$966</c:f>
              <c:numCache>
                <c:formatCode>General</c:formatCode>
                <c:ptCount val="946"/>
                <c:pt idx="1">
                  <c:v>-8.132363504005255E-2</c:v>
                </c:pt>
                <c:pt idx="20">
                  <c:v>-2.9991216710637175E-2</c:v>
                </c:pt>
                <c:pt idx="21">
                  <c:v>-2.9893170599990637E-2</c:v>
                </c:pt>
                <c:pt idx="22">
                  <c:v>-2.9294335124195686E-2</c:v>
                </c:pt>
                <c:pt idx="23">
                  <c:v>-2.6546027222688395E-2</c:v>
                </c:pt>
                <c:pt idx="24">
                  <c:v>-2.6544518820986129E-2</c:v>
                </c:pt>
                <c:pt idx="25">
                  <c:v>-2.6273006514580366E-2</c:v>
                </c:pt>
                <c:pt idx="26">
                  <c:v>-2.1949927235919597E-2</c:v>
                </c:pt>
                <c:pt idx="27">
                  <c:v>-1.3419915609671651E-2</c:v>
                </c:pt>
                <c:pt idx="28">
                  <c:v>-1.3418407207969385E-2</c:v>
                </c:pt>
                <c:pt idx="29">
                  <c:v>-1.0566019589006548E-2</c:v>
                </c:pt>
                <c:pt idx="30">
                  <c:v>-1.056451118730431E-2</c:v>
                </c:pt>
                <c:pt idx="31">
                  <c:v>-4.7797906591591499E-3</c:v>
                </c:pt>
                <c:pt idx="32">
                  <c:v>-4.7782900432993825E-4</c:v>
                </c:pt>
                <c:pt idx="33">
                  <c:v>2.1932495086061904E-2</c:v>
                </c:pt>
                <c:pt idx="34">
                  <c:v>2.5006617755256116E-2</c:v>
                </c:pt>
                <c:pt idx="35">
                  <c:v>2.5068462225048549E-2</c:v>
                </c:pt>
                <c:pt idx="36">
                  <c:v>2.5069970626750787E-2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32-45F1-B844-966FAC038A5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Active!$U$21:$U$966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32-45F1-B844-966FAC038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788688"/>
        <c:axId val="1"/>
      </c:scatterChart>
      <c:valAx>
        <c:axId val="612788688"/>
        <c:scaling>
          <c:orientation val="minMax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788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16656702241783"/>
          <c:y val="0.92073298764483702"/>
          <c:w val="0.77706045225768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V0931 Cyg - O-C Diagr.</a:t>
            </a:r>
          </a:p>
        </c:rich>
      </c:tx>
      <c:layout>
        <c:manualLayout>
          <c:xMode val="edge"/>
          <c:yMode val="edge"/>
          <c:x val="0.36290322580645162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9756838905775076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Active!$C$21:$C$1967</c:f>
                <c:numCache>
                  <c:formatCode>General</c:formatCode>
                  <c:ptCount val="1947"/>
                  <c:pt idx="0">
                    <c:v>34134.497499999998</c:v>
                  </c:pt>
                  <c:pt idx="1">
                    <c:v>47791.404999999999</c:v>
                  </c:pt>
                  <c:pt idx="2">
                    <c:v>51378.453600000001</c:v>
                  </c:pt>
                  <c:pt idx="3">
                    <c:v>51462.294300000001</c:v>
                  </c:pt>
                  <c:pt idx="4">
                    <c:v>51635.616099999999</c:v>
                  </c:pt>
                  <c:pt idx="5">
                    <c:v>51799.368600000002</c:v>
                  </c:pt>
                  <c:pt idx="6">
                    <c:v>51799.541100000002</c:v>
                  </c:pt>
                  <c:pt idx="7">
                    <c:v>51806.362000000001</c:v>
                  </c:pt>
                  <c:pt idx="8">
                    <c:v>51806.542999999998</c:v>
                  </c:pt>
                  <c:pt idx="9">
                    <c:v>52133.539700000001</c:v>
                  </c:pt>
                  <c:pt idx="10">
                    <c:v>52463.439100000003</c:v>
                  </c:pt>
                  <c:pt idx="11">
                    <c:v>52463.439100000003</c:v>
                  </c:pt>
                  <c:pt idx="12">
                    <c:v>52490.4162</c:v>
                  </c:pt>
                  <c:pt idx="13">
                    <c:v>52876.4951</c:v>
                  </c:pt>
                  <c:pt idx="14">
                    <c:v>53228.420279999998</c:v>
                  </c:pt>
                  <c:pt idx="15">
                    <c:v>53297.5772</c:v>
                  </c:pt>
                  <c:pt idx="16">
                    <c:v>53297.5772</c:v>
                  </c:pt>
                  <c:pt idx="17">
                    <c:v>53306.631800000003</c:v>
                  </c:pt>
                  <c:pt idx="18">
                    <c:v>53306.631800000003</c:v>
                  </c:pt>
                  <c:pt idx="19">
                    <c:v>53578.471899999997</c:v>
                  </c:pt>
                  <c:pt idx="20">
                    <c:v>53602.376100000001</c:v>
                  </c:pt>
                  <c:pt idx="21">
                    <c:v>53613.4755</c:v>
                  </c:pt>
                  <c:pt idx="22">
                    <c:v>53681.2624</c:v>
                  </c:pt>
                  <c:pt idx="23">
                    <c:v>53992.385300000002</c:v>
                  </c:pt>
                  <c:pt idx="24">
                    <c:v>53992.552900000002</c:v>
                  </c:pt>
                  <c:pt idx="25">
                    <c:v>54023.291899999997</c:v>
                  </c:pt>
                  <c:pt idx="26">
                    <c:v>54512.680899999999</c:v>
                  </c:pt>
                  <c:pt idx="27">
                    <c:v>55478.3105</c:v>
                  </c:pt>
                  <c:pt idx="28">
                    <c:v>55478.480900000002</c:v>
                  </c:pt>
                  <c:pt idx="29">
                    <c:v>55801.383099999999</c:v>
                  </c:pt>
                  <c:pt idx="30">
                    <c:v>55801.552600000003</c:v>
                  </c:pt>
                  <c:pt idx="31">
                    <c:v>56456.411200000002</c:v>
                  </c:pt>
                  <c:pt idx="32">
                    <c:v>56943.408499999998</c:v>
                  </c:pt>
                  <c:pt idx="33">
                    <c:v>59480.367599999903</c:v>
                  </c:pt>
                  <c:pt idx="34">
                    <c:v>59828.366699999999</c:v>
                  </c:pt>
                  <c:pt idx="35">
                    <c:v>59835.371599999999</c:v>
                  </c:pt>
                  <c:pt idx="36">
                    <c:v>59835.538099999998</c:v>
                  </c:pt>
                </c:numCache>
              </c:numRef>
            </c:plus>
            <c:minus>
              <c:numRef>
                <c:f>Active!$C$21:$C$1967</c:f>
                <c:numCache>
                  <c:formatCode>General</c:formatCode>
                  <c:ptCount val="1947"/>
                  <c:pt idx="0">
                    <c:v>34134.497499999998</c:v>
                  </c:pt>
                  <c:pt idx="1">
                    <c:v>47791.404999999999</c:v>
                  </c:pt>
                  <c:pt idx="2">
                    <c:v>51378.453600000001</c:v>
                  </c:pt>
                  <c:pt idx="3">
                    <c:v>51462.294300000001</c:v>
                  </c:pt>
                  <c:pt idx="4">
                    <c:v>51635.616099999999</c:v>
                  </c:pt>
                  <c:pt idx="5">
                    <c:v>51799.368600000002</c:v>
                  </c:pt>
                  <c:pt idx="6">
                    <c:v>51799.541100000002</c:v>
                  </c:pt>
                  <c:pt idx="7">
                    <c:v>51806.362000000001</c:v>
                  </c:pt>
                  <c:pt idx="8">
                    <c:v>51806.542999999998</c:v>
                  </c:pt>
                  <c:pt idx="9">
                    <c:v>52133.539700000001</c:v>
                  </c:pt>
                  <c:pt idx="10">
                    <c:v>52463.439100000003</c:v>
                  </c:pt>
                  <c:pt idx="11">
                    <c:v>52463.439100000003</c:v>
                  </c:pt>
                  <c:pt idx="12">
                    <c:v>52490.4162</c:v>
                  </c:pt>
                  <c:pt idx="13">
                    <c:v>52876.4951</c:v>
                  </c:pt>
                  <c:pt idx="14">
                    <c:v>53228.420279999998</c:v>
                  </c:pt>
                  <c:pt idx="15">
                    <c:v>53297.5772</c:v>
                  </c:pt>
                  <c:pt idx="16">
                    <c:v>53297.5772</c:v>
                  </c:pt>
                  <c:pt idx="17">
                    <c:v>53306.631800000003</c:v>
                  </c:pt>
                  <c:pt idx="18">
                    <c:v>53306.631800000003</c:v>
                  </c:pt>
                  <c:pt idx="19">
                    <c:v>53578.471899999997</c:v>
                  </c:pt>
                  <c:pt idx="20">
                    <c:v>53602.376100000001</c:v>
                  </c:pt>
                  <c:pt idx="21">
                    <c:v>53613.4755</c:v>
                  </c:pt>
                  <c:pt idx="22">
                    <c:v>53681.2624</c:v>
                  </c:pt>
                  <c:pt idx="23">
                    <c:v>53992.385300000002</c:v>
                  </c:pt>
                  <c:pt idx="24">
                    <c:v>53992.552900000002</c:v>
                  </c:pt>
                  <c:pt idx="25">
                    <c:v>54023.291899999997</c:v>
                  </c:pt>
                  <c:pt idx="26">
                    <c:v>54512.680899999999</c:v>
                  </c:pt>
                  <c:pt idx="27">
                    <c:v>55478.3105</c:v>
                  </c:pt>
                  <c:pt idx="28">
                    <c:v>55478.480900000002</c:v>
                  </c:pt>
                  <c:pt idx="29">
                    <c:v>55801.383099999999</c:v>
                  </c:pt>
                  <c:pt idx="30">
                    <c:v>55801.552600000003</c:v>
                  </c:pt>
                  <c:pt idx="31">
                    <c:v>56456.411200000002</c:v>
                  </c:pt>
                  <c:pt idx="32">
                    <c:v>56943.408499999998</c:v>
                  </c:pt>
                  <c:pt idx="33">
                    <c:v>59480.367599999903</c:v>
                  </c:pt>
                  <c:pt idx="34">
                    <c:v>59828.366699999999</c:v>
                  </c:pt>
                  <c:pt idx="35">
                    <c:v>59835.371599999999</c:v>
                  </c:pt>
                  <c:pt idx="36">
                    <c:v>59835.538099999998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Active!$H$21:$H$966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F0-474F-8F2B-F7E4A92E804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1.8E-3</c:v>
                  </c:pt>
                  <c:pt idx="4">
                    <c:v>2.2000000000000001E-3</c:v>
                  </c:pt>
                  <c:pt idx="5">
                    <c:v>6.9999999999999999E-4</c:v>
                  </c:pt>
                  <c:pt idx="6">
                    <c:v>1.5E-3</c:v>
                  </c:pt>
                  <c:pt idx="9">
                    <c:v>0</c:v>
                  </c:pt>
                  <c:pt idx="11">
                    <c:v>5.0000000000000001E-4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5.0000000000000001E-4</c:v>
                  </c:pt>
                  <c:pt idx="19">
                    <c:v>1.9E-3</c:v>
                  </c:pt>
                  <c:pt idx="20">
                    <c:v>5.0000000000000001E-4</c:v>
                  </c:pt>
                  <c:pt idx="21">
                    <c:v>2.5999999999999999E-3</c:v>
                  </c:pt>
                  <c:pt idx="22">
                    <c:v>1.6999999999999999E-3</c:v>
                  </c:pt>
                  <c:pt idx="23">
                    <c:v>2.0000000000000001E-4</c:v>
                  </c:pt>
                  <c:pt idx="24">
                    <c:v>1.1999999999999999E-3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1.6999999999999999E-3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5.9999999999999995E-4</c:v>
                  </c:pt>
                  <c:pt idx="35">
                    <c:v>4.0000000000000002E-4</c:v>
                  </c:pt>
                  <c:pt idx="36">
                    <c:v>5.0000000000000001E-4</c:v>
                  </c:pt>
                </c:numCache>
              </c:numRef>
            </c:plus>
            <c:min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1.8E-3</c:v>
                  </c:pt>
                  <c:pt idx="4">
                    <c:v>2.2000000000000001E-3</c:v>
                  </c:pt>
                  <c:pt idx="5">
                    <c:v>6.9999999999999999E-4</c:v>
                  </c:pt>
                  <c:pt idx="6">
                    <c:v>1.5E-3</c:v>
                  </c:pt>
                  <c:pt idx="9">
                    <c:v>0</c:v>
                  </c:pt>
                  <c:pt idx="11">
                    <c:v>5.0000000000000001E-4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5.0000000000000001E-4</c:v>
                  </c:pt>
                  <c:pt idx="19">
                    <c:v>1.9E-3</c:v>
                  </c:pt>
                  <c:pt idx="20">
                    <c:v>5.0000000000000001E-4</c:v>
                  </c:pt>
                  <c:pt idx="21">
                    <c:v>2.5999999999999999E-3</c:v>
                  </c:pt>
                  <c:pt idx="22">
                    <c:v>1.6999999999999999E-3</c:v>
                  </c:pt>
                  <c:pt idx="23">
                    <c:v>2.0000000000000001E-4</c:v>
                  </c:pt>
                  <c:pt idx="24">
                    <c:v>1.1999999999999999E-3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1.6999999999999999E-3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5.9999999999999995E-4</c:v>
                  </c:pt>
                  <c:pt idx="35">
                    <c:v>4.0000000000000002E-4</c:v>
                  </c:pt>
                  <c:pt idx="3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Active!$I$21:$I$966</c:f>
              <c:numCache>
                <c:formatCode>General</c:formatCode>
                <c:ptCount val="946"/>
                <c:pt idx="1">
                  <c:v>4.3307819432811812E-3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F0-474F-8F2B-F7E4A92E804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Active!$J$21:$J$966</c:f>
              <c:numCache>
                <c:formatCode>General</c:formatCode>
                <c:ptCount val="946"/>
                <c:pt idx="0">
                  <c:v>0</c:v>
                </c:pt>
                <c:pt idx="5">
                  <c:v>-1.9555781851522624E-2</c:v>
                </c:pt>
                <c:pt idx="6">
                  <c:v>-1.781189494067803E-2</c:v>
                </c:pt>
                <c:pt idx="11">
                  <c:v>-1.9579607964260504E-2</c:v>
                </c:pt>
                <c:pt idx="13">
                  <c:v>-2.2617184564296622E-2</c:v>
                </c:pt>
                <c:pt idx="19">
                  <c:v>-2.4198117753257975E-2</c:v>
                </c:pt>
                <c:pt idx="20">
                  <c:v>-2.5853951039607637E-2</c:v>
                </c:pt>
                <c:pt idx="21">
                  <c:v>-2.5601302208087873E-2</c:v>
                </c:pt>
                <c:pt idx="22">
                  <c:v>-2.887820089381421E-2</c:v>
                </c:pt>
                <c:pt idx="23">
                  <c:v>-2.3616259823029395E-2</c:v>
                </c:pt>
                <c:pt idx="24">
                  <c:v>-2.6772372912091669E-2</c:v>
                </c:pt>
                <c:pt idx="25">
                  <c:v>-2.3872730002040043E-2</c:v>
                </c:pt>
                <c:pt idx="26">
                  <c:v>-2.1892860022489913E-2</c:v>
                </c:pt>
                <c:pt idx="27">
                  <c:v>-1.8112411758920643E-2</c:v>
                </c:pt>
                <c:pt idx="28">
                  <c:v>-1.846852484595729E-2</c:v>
                </c:pt>
                <c:pt idx="32">
                  <c:v>-7.5627661062753759E-3</c:v>
                </c:pt>
                <c:pt idx="33">
                  <c:v>2.796498266980052E-2</c:v>
                </c:pt>
                <c:pt idx="34">
                  <c:v>2.6106495337444358E-2</c:v>
                </c:pt>
                <c:pt idx="35">
                  <c:v>3.000585843983572E-2</c:v>
                </c:pt>
                <c:pt idx="36">
                  <c:v>2.5749745349457953E-2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F0-474F-8F2B-F7E4A92E804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Active!$K$21:$K$966</c:f>
              <c:numCache>
                <c:formatCode>General</c:formatCode>
                <c:ptCount val="946"/>
                <c:pt idx="2">
                  <c:v>-2.0737002887472045E-2</c:v>
                </c:pt>
                <c:pt idx="3">
                  <c:v>-2.1288532494509127E-2</c:v>
                </c:pt>
                <c:pt idx="4">
                  <c:v>-1.6943323833402246E-2</c:v>
                </c:pt>
                <c:pt idx="7">
                  <c:v>-2.7156418742379174E-2</c:v>
                </c:pt>
                <c:pt idx="8">
                  <c:v>-1.6912531842535827E-2</c:v>
                </c:pt>
                <c:pt idx="9">
                  <c:v>-1.8169108596339356E-2</c:v>
                </c:pt>
                <c:pt idx="10">
                  <c:v>-1.9579607964260504E-2</c:v>
                </c:pt>
                <c:pt idx="12">
                  <c:v>-2.1945476961263921E-2</c:v>
                </c:pt>
                <c:pt idx="14">
                  <c:v>-2.5786273181438446E-2</c:v>
                </c:pt>
                <c:pt idx="15">
                  <c:v>-2.5092076619330328E-2</c:v>
                </c:pt>
                <c:pt idx="16">
                  <c:v>-2.5092076619330328E-2</c:v>
                </c:pt>
                <c:pt idx="17">
                  <c:v>-2.0566070648783352E-2</c:v>
                </c:pt>
                <c:pt idx="18">
                  <c:v>-2.0566070648783352E-2</c:v>
                </c:pt>
                <c:pt idx="29">
                  <c:v>-1.6078387336165179E-2</c:v>
                </c:pt>
                <c:pt idx="30">
                  <c:v>-1.7334500422293786E-2</c:v>
                </c:pt>
                <c:pt idx="31">
                  <c:v>-8.4282194147817791E-3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F0-474F-8F2B-F7E4A92E804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Active!$L$21:$L$966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F0-474F-8F2B-F7E4A92E80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Active!$M$21:$M$966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F0-474F-8F2B-F7E4A92E80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Active!$N$21:$N$966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F0-474F-8F2B-F7E4A92E804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Active!$O$21:$O$966</c:f>
              <c:numCache>
                <c:formatCode>General</c:formatCode>
                <c:ptCount val="946"/>
                <c:pt idx="1">
                  <c:v>-8.132363504005255E-2</c:v>
                </c:pt>
                <c:pt idx="20">
                  <c:v>-2.9991216710637175E-2</c:v>
                </c:pt>
                <c:pt idx="21">
                  <c:v>-2.9893170599990637E-2</c:v>
                </c:pt>
                <c:pt idx="22">
                  <c:v>-2.9294335124195686E-2</c:v>
                </c:pt>
                <c:pt idx="23">
                  <c:v>-2.6546027222688395E-2</c:v>
                </c:pt>
                <c:pt idx="24">
                  <c:v>-2.6544518820986129E-2</c:v>
                </c:pt>
                <c:pt idx="25">
                  <c:v>-2.6273006514580366E-2</c:v>
                </c:pt>
                <c:pt idx="26">
                  <c:v>-2.1949927235919597E-2</c:v>
                </c:pt>
                <c:pt idx="27">
                  <c:v>-1.3419915609671651E-2</c:v>
                </c:pt>
                <c:pt idx="28">
                  <c:v>-1.3418407207969385E-2</c:v>
                </c:pt>
                <c:pt idx="29">
                  <c:v>-1.0566019589006548E-2</c:v>
                </c:pt>
                <c:pt idx="30">
                  <c:v>-1.056451118730431E-2</c:v>
                </c:pt>
                <c:pt idx="31">
                  <c:v>-4.7797906591591499E-3</c:v>
                </c:pt>
                <c:pt idx="32">
                  <c:v>-4.7782900432993825E-4</c:v>
                </c:pt>
                <c:pt idx="33">
                  <c:v>2.1932495086061904E-2</c:v>
                </c:pt>
                <c:pt idx="34">
                  <c:v>2.5006617755256116E-2</c:v>
                </c:pt>
                <c:pt idx="35">
                  <c:v>2.5068462225048549E-2</c:v>
                </c:pt>
                <c:pt idx="36">
                  <c:v>2.5069970626750787E-2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F0-474F-8F2B-F7E4A92E804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Active!$U$21:$U$966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F0-474F-8F2B-F7E4A92E8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038216"/>
        <c:axId val="1"/>
      </c:scatterChart>
      <c:valAx>
        <c:axId val="61803821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422492401215805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038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06451612903225"/>
          <c:y val="0.92097264437689974"/>
          <c:w val="0.77580645161290318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16</xdr:col>
      <xdr:colOff>400050</xdr:colOff>
      <xdr:row>18</xdr:row>
      <xdr:rowOff>38100</xdr:rowOff>
    </xdr:to>
    <xdr:graphicFrame macro="">
      <xdr:nvGraphicFramePr>
        <xdr:cNvPr id="54276" name="Chart 1">
          <a:extLst>
            <a:ext uri="{FF2B5EF4-FFF2-40B4-BE49-F238E27FC236}">
              <a16:creationId xmlns:a16="http://schemas.microsoft.com/office/drawing/2014/main" id="{E74C408F-1FB7-22B2-12E9-03978FD0D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552450</xdr:colOff>
      <xdr:row>0</xdr:row>
      <xdr:rowOff>9525</xdr:rowOff>
    </xdr:from>
    <xdr:to>
      <xdr:col>27</xdr:col>
      <xdr:colOff>342900</xdr:colOff>
      <xdr:row>18</xdr:row>
      <xdr:rowOff>57150</xdr:rowOff>
    </xdr:to>
    <xdr:graphicFrame macro="">
      <xdr:nvGraphicFramePr>
        <xdr:cNvPr id="54277" name="Chart 3">
          <a:extLst>
            <a:ext uri="{FF2B5EF4-FFF2-40B4-BE49-F238E27FC236}">
              <a16:creationId xmlns:a16="http://schemas.microsoft.com/office/drawing/2014/main" id="{9612792F-75CD-34F2-468C-4B060CBB7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bav-astro.de/sfs/BAVM_link.php?BAVMnr=183" TargetMode="External"/><Relationship Id="rId26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konkoly.hu/cgi-bin/IBVS?5287" TargetMode="External"/><Relationship Id="rId21" Type="http://schemas.openxmlformats.org/officeDocument/2006/relationships/hyperlink" Target="http://www.bav-astro.de/sfs/BAVM_link.php?BAVMnr=215" TargetMode="External"/><Relationship Id="rId7" Type="http://schemas.openxmlformats.org/officeDocument/2006/relationships/hyperlink" Target="http://www.bav-astro.de/sfs/BAVM_link.php?BAVMnr=172" TargetMode="External"/><Relationship Id="rId12" Type="http://schemas.openxmlformats.org/officeDocument/2006/relationships/hyperlink" Target="http://www.konkoly.hu/cgi-bin/IBVS?5690" TargetMode="External"/><Relationship Id="rId17" Type="http://schemas.openxmlformats.org/officeDocument/2006/relationships/hyperlink" Target="http://www.bav-astro.de/sfs/BAVM_link.php?BAVMnr=183" TargetMode="External"/><Relationship Id="rId25" Type="http://schemas.openxmlformats.org/officeDocument/2006/relationships/hyperlink" Target="http://www.konkoly.hu/cgi-bin/IBVS?6094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www.bav-astro.de/sfs/BAVM_link.php?BAVMnr=178" TargetMode="External"/><Relationship Id="rId20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www.bav-astro.de/sfs/BAVM_link.php?BAVMnr=179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konkoly.hu/cgi-bin/IBVS?5690" TargetMode="External"/><Relationship Id="rId24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172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bav-astro.de/sfs/BAVM_link.php?BAVMnr=183" TargetMode="External"/><Relationship Id="rId4" Type="http://schemas.openxmlformats.org/officeDocument/2006/relationships/hyperlink" Target="http://www.bav-astro.de/sfs/BAVM_link.php?BAVMnr=172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0"/>
  <sheetViews>
    <sheetView tabSelected="1" workbookViewId="0">
      <pane xSplit="14" ySplit="21" topLeftCell="O40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3.1406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22" ht="20.25">
      <c r="A1" s="1" t="s">
        <v>204</v>
      </c>
    </row>
    <row r="2" spans="1:22">
      <c r="A2" t="s">
        <v>23</v>
      </c>
      <c r="B2" s="8" t="s">
        <v>26</v>
      </c>
    </row>
    <row r="3" spans="1:22" ht="13.5" thickBot="1">
      <c r="C3" s="10"/>
    </row>
    <row r="4" spans="1:22" ht="14.25" thickTop="1" thickBot="1">
      <c r="A4" s="5" t="s">
        <v>0</v>
      </c>
      <c r="C4" s="9">
        <v>34134.497499999998</v>
      </c>
      <c r="D4" s="12">
        <v>0.34149157000000002</v>
      </c>
    </row>
    <row r="5" spans="1:22" ht="13.5" thickTop="1">
      <c r="A5" s="16" t="s">
        <v>41</v>
      </c>
      <c r="B5" s="13"/>
      <c r="C5" s="17">
        <v>-9.5</v>
      </c>
      <c r="D5" s="13" t="s">
        <v>42</v>
      </c>
    </row>
    <row r="6" spans="1:22">
      <c r="A6" s="5" t="s">
        <v>1</v>
      </c>
    </row>
    <row r="7" spans="1:22">
      <c r="A7" t="s">
        <v>2</v>
      </c>
      <c r="C7">
        <f>+C4</f>
        <v>34134.497499999998</v>
      </c>
    </row>
    <row r="8" spans="1:22">
      <c r="A8" t="s">
        <v>3</v>
      </c>
      <c r="C8">
        <v>0.34151222618982618</v>
      </c>
    </row>
    <row r="9" spans="1:22">
      <c r="A9" s="30" t="s">
        <v>47</v>
      </c>
      <c r="B9" s="31">
        <v>40</v>
      </c>
      <c r="C9" s="28" t="str">
        <f>"F"&amp;B9</f>
        <v>F40</v>
      </c>
      <c r="D9" s="29" t="str">
        <f>"G"&amp;B9</f>
        <v>G40</v>
      </c>
    </row>
    <row r="10" spans="1:22" ht="13.5" thickBot="1">
      <c r="A10" s="13"/>
      <c r="B10" s="13"/>
      <c r="C10" s="4" t="s">
        <v>19</v>
      </c>
      <c r="D10" s="4" t="s">
        <v>20</v>
      </c>
      <c r="E10" s="13"/>
    </row>
    <row r="11" spans="1:22">
      <c r="A11" s="13" t="s">
        <v>15</v>
      </c>
      <c r="B11" s="13"/>
      <c r="C11" s="27">
        <f ca="1">INTERCEPT(INDIRECT($D$9):G992,INDIRECT($C$9):F992)</f>
        <v>-0.20196409478464755</v>
      </c>
      <c r="D11" s="3"/>
      <c r="E11" s="13"/>
    </row>
    <row r="12" spans="1:22">
      <c r="A12" s="13" t="s">
        <v>16</v>
      </c>
      <c r="B12" s="13"/>
      <c r="C12" s="27">
        <f ca="1">SLOPE(INDIRECT($D$9):G992,INDIRECT($C$9):F992)</f>
        <v>3.0168034045085587E-6</v>
      </c>
      <c r="D12" s="3"/>
      <c r="E12" s="13"/>
    </row>
    <row r="13" spans="1:22">
      <c r="A13" s="13" t="s">
        <v>18</v>
      </c>
      <c r="B13" s="13"/>
      <c r="C13" s="3" t="s">
        <v>28</v>
      </c>
    </row>
    <row r="14" spans="1:22">
      <c r="A14" s="13"/>
      <c r="B14" s="13"/>
      <c r="C14" s="13"/>
    </row>
    <row r="15" spans="1:22">
      <c r="A15" s="18" t="s">
        <v>17</v>
      </c>
      <c r="B15" s="13"/>
      <c r="C15" s="19">
        <f ca="1">(C7+C11)+(C8+C12)*INT(MAX(F21:F3533))</f>
        <v>59835.366662603788</v>
      </c>
      <c r="E15" s="20" t="s">
        <v>51</v>
      </c>
      <c r="F15" s="17">
        <v>1</v>
      </c>
      <c r="V15">
        <f ca="1">SUM(V22:V133)</f>
        <v>1.5975589269301434E-2</v>
      </c>
    </row>
    <row r="16" spans="1:22">
      <c r="A16" s="22" t="s">
        <v>4</v>
      </c>
      <c r="B16" s="13"/>
      <c r="C16" s="23">
        <f ca="1">+C8+C12</f>
        <v>0.34151524299323072</v>
      </c>
      <c r="E16" s="20" t="s">
        <v>43</v>
      </c>
      <c r="F16" s="21">
        <f ca="1">NOW()+15018.5+$C$5/24</f>
        <v>60170.79571770833</v>
      </c>
      <c r="V16">
        <f ca="1">COUNT(V22:V133)</f>
        <v>36</v>
      </c>
    </row>
    <row r="17" spans="1:22" ht="13.5" thickBot="1">
      <c r="A17" s="20" t="s">
        <v>39</v>
      </c>
      <c r="B17" s="13"/>
      <c r="C17" s="13">
        <f>COUNT(C21:C2191)</f>
        <v>37</v>
      </c>
      <c r="E17" s="20" t="s">
        <v>52</v>
      </c>
      <c r="F17" s="21">
        <f ca="1">ROUND(2*(F16-$C$7)/$C$8,0)/2+F15</f>
        <v>76239.5</v>
      </c>
      <c r="V17">
        <f ca="1">SQRT(V15/(V16-1))</f>
        <v>2.1364583021775237E-2</v>
      </c>
    </row>
    <row r="18" spans="1:22" ht="14.25" thickTop="1" thickBot="1">
      <c r="A18" s="22" t="s">
        <v>5</v>
      </c>
      <c r="B18" s="13"/>
      <c r="C18" s="25">
        <f ca="1">+C15</f>
        <v>59835.366662603788</v>
      </c>
      <c r="D18" s="26">
        <f ca="1">+C16</f>
        <v>0.34151524299323072</v>
      </c>
      <c r="E18" s="20" t="s">
        <v>44</v>
      </c>
      <c r="F18" s="29">
        <f ca="1">ROUND(2*(F16-$C$15)/$C$16,0)/2+F15</f>
        <v>983</v>
      </c>
    </row>
    <row r="19" spans="1:22" ht="13.5" thickTop="1">
      <c r="E19" s="20" t="s">
        <v>45</v>
      </c>
      <c r="F19" s="24">
        <f ca="1">+$C$15+$C$16*F18-15018.5-$C$5/24</f>
        <v>45152.971979799469</v>
      </c>
    </row>
    <row r="20" spans="1:22" ht="1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60</v>
      </c>
      <c r="I20" s="7" t="s">
        <v>61</v>
      </c>
      <c r="J20" s="7" t="s">
        <v>62</v>
      </c>
      <c r="K20" s="7" t="s">
        <v>49</v>
      </c>
      <c r="L20" s="7" t="s">
        <v>24</v>
      </c>
      <c r="M20" s="7" t="s">
        <v>25</v>
      </c>
      <c r="N20" s="7" t="s">
        <v>29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44" t="s">
        <v>56</v>
      </c>
      <c r="V20" s="6" t="s">
        <v>59</v>
      </c>
    </row>
    <row r="21" spans="1:22">
      <c r="A21" t="s">
        <v>12</v>
      </c>
      <c r="B21" s="3"/>
      <c r="C21" s="14">
        <f>+C4</f>
        <v>34134.497499999998</v>
      </c>
      <c r="D21" s="14" t="s">
        <v>28</v>
      </c>
      <c r="E21">
        <f t="shared" ref="E21:E53" si="0">+(C21-C$7)/C$8</f>
        <v>0</v>
      </c>
      <c r="F21">
        <f t="shared" ref="F21:F53" si="1">ROUND(2*E21,0)/2</f>
        <v>0</v>
      </c>
      <c r="G21">
        <f t="shared" ref="G21:G53" si="2">+C21-(C$7+F21*C$8)</f>
        <v>0</v>
      </c>
      <c r="J21">
        <f>G21</f>
        <v>0</v>
      </c>
      <c r="Q21" s="2">
        <f t="shared" ref="Q21:Q53" si="3">+C21-15018.5</f>
        <v>19115.997499999998</v>
      </c>
      <c r="R21" s="2"/>
      <c r="S21" s="2"/>
      <c r="T21" s="2"/>
    </row>
    <row r="22" spans="1:22">
      <c r="A22" s="61" t="s">
        <v>75</v>
      </c>
      <c r="B22" s="62" t="s">
        <v>27</v>
      </c>
      <c r="C22" s="61">
        <v>47791.404999999999</v>
      </c>
      <c r="D22" s="61" t="s">
        <v>61</v>
      </c>
      <c r="E22" s="35">
        <f t="shared" si="0"/>
        <v>39989.512681191518</v>
      </c>
      <c r="F22">
        <f t="shared" si="1"/>
        <v>39989.5</v>
      </c>
      <c r="G22">
        <f t="shared" si="2"/>
        <v>4.3307819432811812E-3</v>
      </c>
      <c r="I22">
        <f>G22</f>
        <v>4.3307819432811812E-3</v>
      </c>
      <c r="O22">
        <f ca="1">+C$11+C$12*$F22</f>
        <v>-8.132363504005255E-2</v>
      </c>
      <c r="Q22" s="2">
        <f t="shared" si="3"/>
        <v>32772.904999999999</v>
      </c>
      <c r="R22" s="2"/>
      <c r="S22" s="2"/>
      <c r="T22" s="2"/>
      <c r="V22">
        <f t="shared" ref="V22:V53" ca="1" si="4">(G22-O22)^2</f>
        <v>7.3366791487548101E-3</v>
      </c>
    </row>
    <row r="23" spans="1:22">
      <c r="A23" t="s">
        <v>30</v>
      </c>
      <c r="B23" s="3" t="s">
        <v>27</v>
      </c>
      <c r="C23" s="14">
        <v>51378.453600000001</v>
      </c>
      <c r="D23" s="14">
        <v>1.8E-3</v>
      </c>
      <c r="E23">
        <f t="shared" si="0"/>
        <v>50492.939278885788</v>
      </c>
      <c r="F23">
        <f t="shared" si="1"/>
        <v>50493</v>
      </c>
      <c r="G23">
        <f t="shared" si="2"/>
        <v>-2.0737002887472045E-2</v>
      </c>
      <c r="K23">
        <f>G23</f>
        <v>-2.0737002887472045E-2</v>
      </c>
      <c r="Q23" s="2">
        <f t="shared" si="3"/>
        <v>36359.953600000001</v>
      </c>
      <c r="R23" s="2"/>
      <c r="S23" s="2"/>
      <c r="T23" s="2"/>
      <c r="V23">
        <f t="shared" si="4"/>
        <v>4.3002328875502393E-4</v>
      </c>
    </row>
    <row r="24" spans="1:22">
      <c r="A24" t="s">
        <v>31</v>
      </c>
      <c r="B24" s="3"/>
      <c r="C24" s="14">
        <v>51462.294300000001</v>
      </c>
      <c r="D24" s="14"/>
      <c r="E24">
        <f t="shared" si="0"/>
        <v>50738.437663922814</v>
      </c>
      <c r="F24">
        <f t="shared" si="1"/>
        <v>50738.5</v>
      </c>
      <c r="G24">
        <f t="shared" si="2"/>
        <v>-2.1288532494509127E-2</v>
      </c>
      <c r="K24">
        <f>G24</f>
        <v>-2.1288532494509127E-2</v>
      </c>
      <c r="Q24" s="2">
        <f t="shared" si="3"/>
        <v>36443.794300000001</v>
      </c>
      <c r="R24" s="2"/>
      <c r="S24" s="2"/>
      <c r="T24" s="2"/>
      <c r="V24">
        <f t="shared" si="4"/>
        <v>4.5320161576977097E-4</v>
      </c>
    </row>
    <row r="25" spans="1:22">
      <c r="A25" t="s">
        <v>32</v>
      </c>
      <c r="B25" s="3" t="s">
        <v>27</v>
      </c>
      <c r="C25" s="14">
        <v>51635.616099999999</v>
      </c>
      <c r="D25" s="14">
        <v>2.2000000000000001E-3</v>
      </c>
      <c r="E25">
        <f t="shared" si="0"/>
        <v>51245.95038735796</v>
      </c>
      <c r="F25">
        <f t="shared" si="1"/>
        <v>51246</v>
      </c>
      <c r="G25">
        <f t="shared" si="2"/>
        <v>-1.6943323833402246E-2</v>
      </c>
      <c r="K25">
        <f>G25</f>
        <v>-1.6943323833402246E-2</v>
      </c>
      <c r="Q25" s="2">
        <f t="shared" si="3"/>
        <v>36617.116099999999</v>
      </c>
      <c r="R25" s="2"/>
      <c r="S25" s="2"/>
      <c r="T25" s="2"/>
      <c r="V25">
        <f t="shared" si="4"/>
        <v>2.8707622252353659E-4</v>
      </c>
    </row>
    <row r="26" spans="1:22">
      <c r="A26" s="11" t="s">
        <v>37</v>
      </c>
      <c r="B26" s="3" t="s">
        <v>36</v>
      </c>
      <c r="C26" s="15">
        <v>51799.368600000002</v>
      </c>
      <c r="D26" s="15">
        <v>6.9999999999999999E-4</v>
      </c>
      <c r="E26">
        <f t="shared" si="0"/>
        <v>51725.442737681551</v>
      </c>
      <c r="F26">
        <f t="shared" si="1"/>
        <v>51725.5</v>
      </c>
      <c r="G26">
        <f t="shared" si="2"/>
        <v>-1.9555781851522624E-2</v>
      </c>
      <c r="J26">
        <f>G26</f>
        <v>-1.9555781851522624E-2</v>
      </c>
      <c r="Q26" s="2">
        <f t="shared" si="3"/>
        <v>36780.868600000002</v>
      </c>
      <c r="R26" s="2"/>
      <c r="S26" s="2"/>
      <c r="T26" s="2"/>
      <c r="V26">
        <f t="shared" si="4"/>
        <v>3.8242860382434163E-4</v>
      </c>
    </row>
    <row r="27" spans="1:22">
      <c r="A27" s="32" t="s">
        <v>37</v>
      </c>
      <c r="B27" s="33"/>
      <c r="C27" s="34">
        <v>51799.541100000002</v>
      </c>
      <c r="D27" s="34">
        <v>1.5E-3</v>
      </c>
      <c r="E27" s="35">
        <f t="shared" si="0"/>
        <v>51725.947844048969</v>
      </c>
      <c r="F27">
        <f t="shared" si="1"/>
        <v>51726</v>
      </c>
      <c r="G27">
        <f t="shared" si="2"/>
        <v>-1.781189494067803E-2</v>
      </c>
      <c r="J27">
        <f>G27</f>
        <v>-1.781189494067803E-2</v>
      </c>
      <c r="Q27" s="2">
        <f t="shared" si="3"/>
        <v>36781.041100000002</v>
      </c>
      <c r="R27" s="2"/>
      <c r="S27" s="2"/>
      <c r="T27" s="2"/>
      <c r="V27">
        <f t="shared" si="4"/>
        <v>3.1726360137775161E-4</v>
      </c>
    </row>
    <row r="28" spans="1:22">
      <c r="A28" s="35" t="s">
        <v>33</v>
      </c>
      <c r="B28" s="36"/>
      <c r="C28" s="37">
        <v>51806.362000000001</v>
      </c>
      <c r="D28" s="37"/>
      <c r="E28" s="35">
        <f t="shared" si="0"/>
        <v>51745.920481854941</v>
      </c>
      <c r="F28">
        <f t="shared" si="1"/>
        <v>51746</v>
      </c>
      <c r="G28">
        <f t="shared" si="2"/>
        <v>-2.7156418742379174E-2</v>
      </c>
      <c r="K28">
        <f>G28</f>
        <v>-2.7156418742379174E-2</v>
      </c>
      <c r="Q28" s="2">
        <f t="shared" si="3"/>
        <v>36787.862000000001</v>
      </c>
      <c r="R28" s="2"/>
      <c r="S28" s="2"/>
      <c r="T28" s="2"/>
      <c r="V28">
        <f t="shared" si="4"/>
        <v>7.3747107891144288E-4</v>
      </c>
    </row>
    <row r="29" spans="1:22">
      <c r="A29" s="35" t="s">
        <v>33</v>
      </c>
      <c r="B29" s="36"/>
      <c r="C29" s="37">
        <v>51806.542999999998</v>
      </c>
      <c r="D29" s="37"/>
      <c r="E29" s="35">
        <f t="shared" si="0"/>
        <v>51746.450477521612</v>
      </c>
      <c r="F29">
        <f t="shared" si="1"/>
        <v>51746.5</v>
      </c>
      <c r="G29">
        <f t="shared" si="2"/>
        <v>-1.6912531842535827E-2</v>
      </c>
      <c r="K29">
        <f>G29</f>
        <v>-1.6912531842535827E-2</v>
      </c>
      <c r="Q29" s="2">
        <f t="shared" si="3"/>
        <v>36788.042999999998</v>
      </c>
      <c r="R29" s="2"/>
      <c r="S29" s="2"/>
      <c r="T29" s="2"/>
      <c r="V29">
        <f t="shared" si="4"/>
        <v>2.8603373332478831E-4</v>
      </c>
    </row>
    <row r="30" spans="1:22">
      <c r="A30" s="34" t="s">
        <v>48</v>
      </c>
      <c r="B30" s="36" t="s">
        <v>27</v>
      </c>
      <c r="C30" s="34">
        <v>52133.539700000001</v>
      </c>
      <c r="D30" s="34" t="s">
        <v>49</v>
      </c>
      <c r="E30" s="35">
        <f t="shared" si="0"/>
        <v>52703.9467980728</v>
      </c>
      <c r="F30">
        <f t="shared" si="1"/>
        <v>52704</v>
      </c>
      <c r="G30">
        <f t="shared" si="2"/>
        <v>-1.8169108596339356E-2</v>
      </c>
      <c r="K30">
        <f>G30</f>
        <v>-1.8169108596339356E-2</v>
      </c>
      <c r="Q30" s="2">
        <f t="shared" si="3"/>
        <v>37115.039700000001</v>
      </c>
      <c r="R30" s="2"/>
      <c r="S30" s="2"/>
      <c r="T30" s="2"/>
      <c r="V30">
        <f t="shared" si="4"/>
        <v>3.3011650718557271E-4</v>
      </c>
    </row>
    <row r="31" spans="1:22">
      <c r="A31" s="35" t="s">
        <v>34</v>
      </c>
      <c r="B31" s="36"/>
      <c r="C31" s="37">
        <v>52463.439100000003</v>
      </c>
      <c r="D31" s="37"/>
      <c r="E31" s="35">
        <f t="shared" si="0"/>
        <v>53669.942667915042</v>
      </c>
      <c r="F31">
        <f t="shared" si="1"/>
        <v>53670</v>
      </c>
      <c r="G31">
        <f t="shared" si="2"/>
        <v>-1.9579607964260504E-2</v>
      </c>
      <c r="K31">
        <f>G31</f>
        <v>-1.9579607964260504E-2</v>
      </c>
      <c r="Q31" s="2">
        <f t="shared" si="3"/>
        <v>37444.939100000003</v>
      </c>
      <c r="R31" s="2"/>
      <c r="S31" s="2"/>
      <c r="T31" s="2"/>
      <c r="V31">
        <f t="shared" si="4"/>
        <v>3.8336104803413334E-4</v>
      </c>
    </row>
    <row r="32" spans="1:22">
      <c r="A32" s="32" t="s">
        <v>37</v>
      </c>
      <c r="B32" s="33"/>
      <c r="C32" s="34">
        <v>52463.439100000003</v>
      </c>
      <c r="D32" s="34">
        <v>5.0000000000000001E-4</v>
      </c>
      <c r="E32" s="35">
        <f t="shared" si="0"/>
        <v>53669.942667915042</v>
      </c>
      <c r="F32">
        <f t="shared" si="1"/>
        <v>53670</v>
      </c>
      <c r="G32">
        <f t="shared" si="2"/>
        <v>-1.9579607964260504E-2</v>
      </c>
      <c r="J32">
        <f>G32</f>
        <v>-1.9579607964260504E-2</v>
      </c>
      <c r="Q32" s="2">
        <f t="shared" si="3"/>
        <v>37444.939100000003</v>
      </c>
      <c r="R32" s="2"/>
      <c r="S32" s="2"/>
      <c r="T32" s="2"/>
      <c r="V32">
        <f t="shared" si="4"/>
        <v>3.8336104803413334E-4</v>
      </c>
    </row>
    <row r="33" spans="1:22">
      <c r="A33" s="34" t="s">
        <v>48</v>
      </c>
      <c r="B33" s="36" t="s">
        <v>27</v>
      </c>
      <c r="C33" s="34">
        <v>52490.4162</v>
      </c>
      <c r="D33" s="34" t="s">
        <v>49</v>
      </c>
      <c r="E33" s="35">
        <f t="shared" si="0"/>
        <v>53748.93574028898</v>
      </c>
      <c r="F33">
        <f t="shared" si="1"/>
        <v>53749</v>
      </c>
      <c r="G33">
        <f t="shared" si="2"/>
        <v>-2.1945476961263921E-2</v>
      </c>
      <c r="K33">
        <f>G33</f>
        <v>-2.1945476961263921E-2</v>
      </c>
      <c r="Q33" s="2">
        <f t="shared" si="3"/>
        <v>37471.9162</v>
      </c>
      <c r="R33" s="2"/>
      <c r="S33" s="2"/>
      <c r="T33" s="2"/>
      <c r="V33">
        <f t="shared" si="4"/>
        <v>4.8160395905736552E-4</v>
      </c>
    </row>
    <row r="34" spans="1:22">
      <c r="A34" s="32" t="s">
        <v>37</v>
      </c>
      <c r="B34" s="33"/>
      <c r="C34" s="34">
        <v>52876.4951</v>
      </c>
      <c r="D34" s="34">
        <v>4.0000000000000002E-4</v>
      </c>
      <c r="E34" s="35">
        <f t="shared" si="0"/>
        <v>54879.433773426455</v>
      </c>
      <c r="F34">
        <f t="shared" si="1"/>
        <v>54879.5</v>
      </c>
      <c r="G34">
        <f t="shared" si="2"/>
        <v>-2.2617184564296622E-2</v>
      </c>
      <c r="J34">
        <f>G34</f>
        <v>-2.2617184564296622E-2</v>
      </c>
      <c r="Q34" s="2">
        <f t="shared" si="3"/>
        <v>37857.9951</v>
      </c>
      <c r="R34" s="2"/>
      <c r="S34" s="2"/>
      <c r="T34" s="2"/>
      <c r="V34">
        <f t="shared" si="4"/>
        <v>5.1153703761545736E-4</v>
      </c>
    </row>
    <row r="35" spans="1:22">
      <c r="A35" s="34" t="s">
        <v>48</v>
      </c>
      <c r="B35" s="36" t="s">
        <v>27</v>
      </c>
      <c r="C35" s="34">
        <v>53228.420279999998</v>
      </c>
      <c r="D35" s="34" t="s">
        <v>50</v>
      </c>
      <c r="E35" s="35">
        <f t="shared" si="0"/>
        <v>55909.924493850573</v>
      </c>
      <c r="F35">
        <f t="shared" si="1"/>
        <v>55910</v>
      </c>
      <c r="G35">
        <f t="shared" si="2"/>
        <v>-2.5786273181438446E-2</v>
      </c>
      <c r="K35">
        <f>G35</f>
        <v>-2.5786273181438446E-2</v>
      </c>
      <c r="Q35" s="2">
        <f t="shared" si="3"/>
        <v>38209.920279999998</v>
      </c>
      <c r="R35" s="2"/>
      <c r="S35" s="2"/>
      <c r="T35" s="2"/>
      <c r="V35">
        <f t="shared" si="4"/>
        <v>6.6493188458777164E-4</v>
      </c>
    </row>
    <row r="36" spans="1:22">
      <c r="A36" s="32" t="s">
        <v>38</v>
      </c>
      <c r="B36" s="33" t="s">
        <v>36</v>
      </c>
      <c r="C36" s="38">
        <v>53297.5772</v>
      </c>
      <c r="D36" s="38">
        <v>5.0000000000000001E-4</v>
      </c>
      <c r="E36" s="35">
        <f t="shared" si="0"/>
        <v>56112.426526564217</v>
      </c>
      <c r="F36">
        <f t="shared" si="1"/>
        <v>56112.5</v>
      </c>
      <c r="G36">
        <f t="shared" si="2"/>
        <v>-2.5092076619330328E-2</v>
      </c>
      <c r="K36">
        <f>G36</f>
        <v>-2.5092076619330328E-2</v>
      </c>
      <c r="Q36" s="2">
        <f t="shared" si="3"/>
        <v>38279.0772</v>
      </c>
      <c r="R36" s="2"/>
      <c r="S36" s="2"/>
      <c r="T36" s="2"/>
      <c r="V36">
        <f t="shared" si="4"/>
        <v>6.2961230907034374E-4</v>
      </c>
    </row>
    <row r="37" spans="1:22">
      <c r="A37" s="35" t="s">
        <v>35</v>
      </c>
      <c r="B37" s="36" t="s">
        <v>36</v>
      </c>
      <c r="C37" s="37">
        <v>53297.5772</v>
      </c>
      <c r="D37" s="37">
        <v>5.0000000000000001E-4</v>
      </c>
      <c r="E37" s="35">
        <f t="shared" si="0"/>
        <v>56112.426526564217</v>
      </c>
      <c r="F37">
        <f t="shared" si="1"/>
        <v>56112.5</v>
      </c>
      <c r="G37">
        <f t="shared" si="2"/>
        <v>-2.5092076619330328E-2</v>
      </c>
      <c r="K37">
        <f>G37</f>
        <v>-2.5092076619330328E-2</v>
      </c>
      <c r="Q37" s="2">
        <f t="shared" si="3"/>
        <v>38279.0772</v>
      </c>
      <c r="R37" s="2"/>
      <c r="S37" s="2"/>
      <c r="T37" s="2"/>
      <c r="V37">
        <f t="shared" si="4"/>
        <v>6.2961230907034374E-4</v>
      </c>
    </row>
    <row r="38" spans="1:22">
      <c r="A38" s="32" t="s">
        <v>38</v>
      </c>
      <c r="B38" s="33" t="s">
        <v>27</v>
      </c>
      <c r="C38" s="38">
        <v>53306.631800000003</v>
      </c>
      <c r="D38" s="38">
        <v>5.0000000000000001E-4</v>
      </c>
      <c r="E38" s="35">
        <f t="shared" si="0"/>
        <v>56138.939779401524</v>
      </c>
      <c r="F38">
        <f t="shared" si="1"/>
        <v>56139</v>
      </c>
      <c r="G38">
        <f t="shared" si="2"/>
        <v>-2.0566070648783352E-2</v>
      </c>
      <c r="K38">
        <f>G38</f>
        <v>-2.0566070648783352E-2</v>
      </c>
      <c r="Q38" s="2">
        <f t="shared" si="3"/>
        <v>38288.131800000003</v>
      </c>
      <c r="R38" s="2"/>
      <c r="S38" s="2"/>
      <c r="T38" s="2"/>
      <c r="V38">
        <f t="shared" si="4"/>
        <v>4.2296326193074808E-4</v>
      </c>
    </row>
    <row r="39" spans="1:22">
      <c r="A39" s="35" t="s">
        <v>35</v>
      </c>
      <c r="B39" s="36" t="s">
        <v>27</v>
      </c>
      <c r="C39" s="37">
        <v>53306.631800000003</v>
      </c>
      <c r="D39" s="37">
        <v>5.0000000000000001E-4</v>
      </c>
      <c r="E39" s="35">
        <f t="shared" si="0"/>
        <v>56138.939779401524</v>
      </c>
      <c r="F39">
        <f t="shared" si="1"/>
        <v>56139</v>
      </c>
      <c r="G39">
        <f t="shared" si="2"/>
        <v>-2.0566070648783352E-2</v>
      </c>
      <c r="K39">
        <f>G39</f>
        <v>-2.0566070648783352E-2</v>
      </c>
      <c r="Q39" s="2">
        <f t="shared" si="3"/>
        <v>38288.131800000003</v>
      </c>
      <c r="R39" s="2"/>
      <c r="S39" s="2"/>
      <c r="T39" s="2"/>
      <c r="V39">
        <f t="shared" si="4"/>
        <v>4.2296326193074808E-4</v>
      </c>
    </row>
    <row r="40" spans="1:22">
      <c r="A40" s="39" t="s">
        <v>40</v>
      </c>
      <c r="B40" s="36" t="s">
        <v>36</v>
      </c>
      <c r="C40" s="34">
        <v>53578.471899999997</v>
      </c>
      <c r="D40" s="34">
        <v>1.9E-3</v>
      </c>
      <c r="E40" s="35">
        <f t="shared" si="0"/>
        <v>56934.929144212423</v>
      </c>
      <c r="F40">
        <f t="shared" si="1"/>
        <v>56935</v>
      </c>
      <c r="G40">
        <f t="shared" si="2"/>
        <v>-2.4198117753257975E-2</v>
      </c>
      <c r="J40">
        <f t="shared" ref="J40:J49" si="5">G40</f>
        <v>-2.4198117753257975E-2</v>
      </c>
      <c r="Q40" s="2">
        <f t="shared" si="3"/>
        <v>38559.971899999997</v>
      </c>
      <c r="R40" s="2"/>
      <c r="S40" s="2"/>
      <c r="T40" s="2"/>
      <c r="V40">
        <f t="shared" si="4"/>
        <v>5.8554890280053883E-4</v>
      </c>
    </row>
    <row r="41" spans="1:22">
      <c r="A41" s="39" t="s">
        <v>40</v>
      </c>
      <c r="B41" s="36" t="s">
        <v>36</v>
      </c>
      <c r="C41" s="34">
        <v>53602.376100000001</v>
      </c>
      <c r="D41" s="34">
        <v>5.0000000000000001E-4</v>
      </c>
      <c r="E41" s="35">
        <f t="shared" si="0"/>
        <v>57004.924295679462</v>
      </c>
      <c r="F41">
        <f t="shared" si="1"/>
        <v>57005</v>
      </c>
      <c r="G41">
        <f t="shared" si="2"/>
        <v>-2.5853951039607637E-2</v>
      </c>
      <c r="J41">
        <f t="shared" si="5"/>
        <v>-2.5853951039607637E-2</v>
      </c>
      <c r="O41">
        <f t="shared" ref="O41:O53" ca="1" si="6">+C$11+C$12*$F41</f>
        <v>-2.9991216710637175E-2</v>
      </c>
      <c r="Q41" s="2">
        <f t="shared" si="3"/>
        <v>38583.876100000001</v>
      </c>
      <c r="R41" s="2"/>
      <c r="S41" s="2"/>
      <c r="T41" s="2"/>
      <c r="V41">
        <f t="shared" ca="1" si="4"/>
        <v>1.7116967232679499E-5</v>
      </c>
    </row>
    <row r="42" spans="1:22">
      <c r="A42" s="39" t="s">
        <v>40</v>
      </c>
      <c r="B42" s="40"/>
      <c r="C42" s="34">
        <v>53613.4755</v>
      </c>
      <c r="D42" s="34">
        <v>2.5999999999999999E-3</v>
      </c>
      <c r="E42" s="35">
        <f t="shared" si="0"/>
        <v>57037.425035473854</v>
      </c>
      <c r="F42">
        <f t="shared" si="1"/>
        <v>57037.5</v>
      </c>
      <c r="G42">
        <f t="shared" si="2"/>
        <v>-2.5601302208087873E-2</v>
      </c>
      <c r="J42">
        <f t="shared" si="5"/>
        <v>-2.5601302208087873E-2</v>
      </c>
      <c r="O42">
        <f t="shared" ca="1" si="6"/>
        <v>-2.9893170599990637E-2</v>
      </c>
      <c r="Q42" s="2">
        <f t="shared" si="3"/>
        <v>38594.9755</v>
      </c>
      <c r="R42" s="2"/>
      <c r="S42" s="2"/>
      <c r="T42" s="2"/>
      <c r="V42">
        <f t="shared" ca="1" si="4"/>
        <v>1.8420134293414022E-5</v>
      </c>
    </row>
    <row r="43" spans="1:22">
      <c r="A43" s="39" t="s">
        <v>40</v>
      </c>
      <c r="B43" s="36" t="s">
        <v>36</v>
      </c>
      <c r="C43" s="34">
        <v>53681.2624</v>
      </c>
      <c r="D43" s="34">
        <v>1.6999999999999999E-3</v>
      </c>
      <c r="E43" s="35">
        <f t="shared" si="0"/>
        <v>57235.915440213626</v>
      </c>
      <c r="F43">
        <f t="shared" si="1"/>
        <v>57236</v>
      </c>
      <c r="G43">
        <f t="shared" si="2"/>
        <v>-2.887820089381421E-2</v>
      </c>
      <c r="J43">
        <f t="shared" si="5"/>
        <v>-2.887820089381421E-2</v>
      </c>
      <c r="O43">
        <f t="shared" ca="1" si="6"/>
        <v>-2.9294335124195686E-2</v>
      </c>
      <c r="Q43" s="2">
        <f t="shared" si="3"/>
        <v>38662.7624</v>
      </c>
      <c r="R43" s="2"/>
      <c r="S43" s="2"/>
      <c r="T43" s="2"/>
      <c r="V43">
        <f t="shared" ca="1" si="4"/>
        <v>1.7316769769518362E-7</v>
      </c>
    </row>
    <row r="44" spans="1:22">
      <c r="A44" s="39" t="s">
        <v>46</v>
      </c>
      <c r="B44" s="36" t="s">
        <v>36</v>
      </c>
      <c r="C44" s="34">
        <v>53992.385300000002</v>
      </c>
      <c r="D44" s="34">
        <v>2.0000000000000001E-4</v>
      </c>
      <c r="E44" s="35">
        <f t="shared" si="0"/>
        <v>58146.930847981399</v>
      </c>
      <c r="F44">
        <f t="shared" si="1"/>
        <v>58147</v>
      </c>
      <c r="G44">
        <f t="shared" si="2"/>
        <v>-2.3616259823029395E-2</v>
      </c>
      <c r="J44">
        <f t="shared" si="5"/>
        <v>-2.3616259823029395E-2</v>
      </c>
      <c r="O44">
        <f t="shared" ca="1" si="6"/>
        <v>-2.6546027222688395E-2</v>
      </c>
      <c r="Q44" s="2">
        <f t="shared" si="3"/>
        <v>38973.885300000002</v>
      </c>
      <c r="R44" s="2"/>
      <c r="S44" s="2"/>
      <c r="T44" s="2"/>
      <c r="V44">
        <f t="shared" ca="1" si="4"/>
        <v>8.5835370161046591E-6</v>
      </c>
    </row>
    <row r="45" spans="1:22">
      <c r="A45" s="39" t="s">
        <v>46</v>
      </c>
      <c r="B45" s="33" t="s">
        <v>27</v>
      </c>
      <c r="C45" s="34">
        <v>53992.552900000002</v>
      </c>
      <c r="D45" s="34">
        <v>1.1999999999999999E-3</v>
      </c>
      <c r="E45" s="35">
        <f t="shared" si="0"/>
        <v>58147.421606399832</v>
      </c>
      <c r="F45">
        <f t="shared" si="1"/>
        <v>58147.5</v>
      </c>
      <c r="G45">
        <f t="shared" si="2"/>
        <v>-2.6772372912091669E-2</v>
      </c>
      <c r="J45">
        <f t="shared" si="5"/>
        <v>-2.6772372912091669E-2</v>
      </c>
      <c r="O45">
        <f t="shared" ca="1" si="6"/>
        <v>-2.6544518820986129E-2</v>
      </c>
      <c r="Q45" s="2">
        <f t="shared" si="3"/>
        <v>38974.052900000002</v>
      </c>
      <c r="R45" s="2"/>
      <c r="S45" s="2"/>
      <c r="T45" s="2"/>
      <c r="V45">
        <f t="shared" ca="1" si="4"/>
        <v>5.1917486833531418E-8</v>
      </c>
    </row>
    <row r="46" spans="1:22">
      <c r="A46" s="39" t="s">
        <v>46</v>
      </c>
      <c r="B46" s="33" t="s">
        <v>27</v>
      </c>
      <c r="C46" s="34">
        <v>54023.291899999997</v>
      </c>
      <c r="D46" s="34">
        <v>3.0000000000000001E-3</v>
      </c>
      <c r="E46" s="35">
        <f t="shared" si="0"/>
        <v>58237.430096997494</v>
      </c>
      <c r="F46">
        <f t="shared" si="1"/>
        <v>58237.5</v>
      </c>
      <c r="G46">
        <f t="shared" si="2"/>
        <v>-2.3872730002040043E-2</v>
      </c>
      <c r="J46">
        <f t="shared" si="5"/>
        <v>-2.3872730002040043E-2</v>
      </c>
      <c r="O46">
        <f t="shared" ca="1" si="6"/>
        <v>-2.6273006514580366E-2</v>
      </c>
      <c r="Q46" s="2">
        <f t="shared" si="3"/>
        <v>39004.791899999997</v>
      </c>
      <c r="R46" s="2"/>
      <c r="S46" s="2"/>
      <c r="T46" s="2"/>
      <c r="V46">
        <f t="shared" ca="1" si="4"/>
        <v>5.7613273366527332E-6</v>
      </c>
    </row>
    <row r="47" spans="1:22">
      <c r="A47" s="41" t="s">
        <v>53</v>
      </c>
      <c r="B47" s="42" t="s">
        <v>27</v>
      </c>
      <c r="C47" s="65">
        <v>54512.680899999999</v>
      </c>
      <c r="D47" s="41">
        <v>1.1000000000000001E-3</v>
      </c>
      <c r="E47" s="35">
        <f t="shared" si="0"/>
        <v>59670.435894359434</v>
      </c>
      <c r="F47">
        <f t="shared" si="1"/>
        <v>59670.5</v>
      </c>
      <c r="G47">
        <f t="shared" si="2"/>
        <v>-2.1892860022489913E-2</v>
      </c>
      <c r="J47">
        <f t="shared" si="5"/>
        <v>-2.1892860022489913E-2</v>
      </c>
      <c r="O47">
        <f t="shared" ca="1" si="6"/>
        <v>-2.1949927235919597E-2</v>
      </c>
      <c r="Q47" s="2">
        <f t="shared" si="3"/>
        <v>39494.180899999999</v>
      </c>
      <c r="R47" s="2"/>
      <c r="S47" s="2"/>
      <c r="T47" s="2"/>
      <c r="V47">
        <f t="shared" ca="1" si="4"/>
        <v>3.256666848629171E-9</v>
      </c>
    </row>
    <row r="48" spans="1:22">
      <c r="A48" s="45" t="s">
        <v>57</v>
      </c>
      <c r="B48" s="45"/>
      <c r="C48" s="66">
        <v>55478.3105</v>
      </c>
      <c r="D48" s="46">
        <v>1.6999999999999999E-3</v>
      </c>
      <c r="E48" s="35">
        <f t="shared" si="0"/>
        <v>62497.946964089817</v>
      </c>
      <c r="F48">
        <f t="shared" si="1"/>
        <v>62498</v>
      </c>
      <c r="G48">
        <f t="shared" si="2"/>
        <v>-1.8112411758920643E-2</v>
      </c>
      <c r="J48">
        <f t="shared" si="5"/>
        <v>-1.8112411758920643E-2</v>
      </c>
      <c r="O48">
        <f t="shared" ca="1" si="6"/>
        <v>-1.3419915609671651E-2</v>
      </c>
      <c r="Q48" s="2">
        <f t="shared" si="3"/>
        <v>40459.8105</v>
      </c>
      <c r="R48" s="2"/>
      <c r="S48" s="2"/>
      <c r="T48" s="2"/>
      <c r="V48">
        <f t="shared" ca="1" si="4"/>
        <v>2.2019520110716621E-5</v>
      </c>
    </row>
    <row r="49" spans="1:22">
      <c r="A49" s="45" t="s">
        <v>57</v>
      </c>
      <c r="B49" s="45"/>
      <c r="C49" s="66">
        <v>55478.480900000002</v>
      </c>
      <c r="D49" s="46">
        <v>2E-3</v>
      </c>
      <c r="E49" s="35">
        <f t="shared" si="0"/>
        <v>62498.44592133625</v>
      </c>
      <c r="F49">
        <f t="shared" si="1"/>
        <v>62498.5</v>
      </c>
      <c r="G49">
        <f t="shared" si="2"/>
        <v>-1.846852484595729E-2</v>
      </c>
      <c r="J49">
        <f t="shared" si="5"/>
        <v>-1.846852484595729E-2</v>
      </c>
      <c r="O49">
        <f t="shared" ca="1" si="6"/>
        <v>-1.3418407207969385E-2</v>
      </c>
      <c r="Q49" s="2">
        <f t="shared" si="3"/>
        <v>40459.980900000002</v>
      </c>
      <c r="R49" s="2"/>
      <c r="S49" s="2"/>
      <c r="T49" s="2"/>
      <c r="V49">
        <f t="shared" ca="1" si="4"/>
        <v>2.5503688157516539E-5</v>
      </c>
    </row>
    <row r="50" spans="1:22">
      <c r="A50" s="61" t="s">
        <v>186</v>
      </c>
      <c r="B50" s="62" t="s">
        <v>27</v>
      </c>
      <c r="C50" s="67">
        <v>55801.383099999999</v>
      </c>
      <c r="D50" s="61" t="s">
        <v>61</v>
      </c>
      <c r="E50" s="35">
        <f t="shared" si="0"/>
        <v>63443.95292002424</v>
      </c>
      <c r="F50">
        <f t="shared" si="1"/>
        <v>63444</v>
      </c>
      <c r="G50">
        <f t="shared" si="2"/>
        <v>-1.6078387336165179E-2</v>
      </c>
      <c r="K50">
        <f>G50</f>
        <v>-1.6078387336165179E-2</v>
      </c>
      <c r="O50">
        <f t="shared" ca="1" si="6"/>
        <v>-1.0566019589006548E-2</v>
      </c>
      <c r="Q50" s="2">
        <f t="shared" si="3"/>
        <v>40782.883099999999</v>
      </c>
      <c r="R50" s="2"/>
      <c r="S50" s="2"/>
      <c r="T50" s="2"/>
      <c r="V50">
        <f t="shared" ca="1" si="4"/>
        <v>3.0386198179914719E-5</v>
      </c>
    </row>
    <row r="51" spans="1:22">
      <c r="A51" s="61" t="s">
        <v>186</v>
      </c>
      <c r="B51" s="62" t="s">
        <v>36</v>
      </c>
      <c r="C51" s="67">
        <v>55801.552600000003</v>
      </c>
      <c r="D51" s="61" t="s">
        <v>61</v>
      </c>
      <c r="E51" s="35">
        <f t="shared" si="0"/>
        <v>63444.449241933107</v>
      </c>
      <c r="F51">
        <f t="shared" si="1"/>
        <v>63444.5</v>
      </c>
      <c r="G51">
        <f t="shared" si="2"/>
        <v>-1.7334500422293786E-2</v>
      </c>
      <c r="K51">
        <f>G51</f>
        <v>-1.7334500422293786E-2</v>
      </c>
      <c r="O51">
        <f t="shared" ca="1" si="6"/>
        <v>-1.056451118730431E-2</v>
      </c>
      <c r="Q51" s="2">
        <f t="shared" si="3"/>
        <v>40783.052600000003</v>
      </c>
      <c r="R51" s="2"/>
      <c r="S51" s="2"/>
      <c r="T51" s="2"/>
      <c r="V51">
        <f t="shared" ca="1" si="4"/>
        <v>4.5832754241873396E-5</v>
      </c>
    </row>
    <row r="52" spans="1:22">
      <c r="A52" s="40" t="s">
        <v>54</v>
      </c>
      <c r="B52" s="33" t="s">
        <v>55</v>
      </c>
      <c r="C52" s="68">
        <v>56456.411200000002</v>
      </c>
      <c r="D52" s="38">
        <v>2.0000000000000001E-4</v>
      </c>
      <c r="E52" s="35">
        <f t="shared" si="0"/>
        <v>65361.975320885263</v>
      </c>
      <c r="F52">
        <f t="shared" si="1"/>
        <v>65362</v>
      </c>
      <c r="G52">
        <f t="shared" si="2"/>
        <v>-8.4282194147817791E-3</v>
      </c>
      <c r="K52">
        <f>G52</f>
        <v>-8.4282194147817791E-3</v>
      </c>
      <c r="O52">
        <f t="shared" ca="1" si="6"/>
        <v>-4.7797906591591499E-3</v>
      </c>
      <c r="Q52" s="2">
        <f t="shared" si="3"/>
        <v>41437.911200000002</v>
      </c>
      <c r="R52" s="2"/>
      <c r="S52" s="2"/>
      <c r="T52" s="2"/>
      <c r="V52">
        <f t="shared" ca="1" si="4"/>
        <v>1.3311032384854086E-5</v>
      </c>
    </row>
    <row r="53" spans="1:22">
      <c r="A53" s="43" t="s">
        <v>58</v>
      </c>
      <c r="B53" s="47"/>
      <c r="C53" s="69">
        <v>56943.408499999998</v>
      </c>
      <c r="D53" s="43">
        <v>1.4E-3</v>
      </c>
      <c r="E53" s="35">
        <f t="shared" si="0"/>
        <v>66787.977855064819</v>
      </c>
      <c r="F53">
        <f t="shared" si="1"/>
        <v>66788</v>
      </c>
      <c r="G53">
        <f t="shared" si="2"/>
        <v>-7.5627661062753759E-3</v>
      </c>
      <c r="J53">
        <f>G53</f>
        <v>-7.5627661062753759E-3</v>
      </c>
      <c r="O53">
        <f t="shared" ca="1" si="6"/>
        <v>-4.7782900432993825E-4</v>
      </c>
      <c r="Q53" s="2">
        <f t="shared" si="3"/>
        <v>41924.908499999998</v>
      </c>
      <c r="R53" s="2"/>
      <c r="S53" s="2"/>
      <c r="T53" s="2"/>
      <c r="V53">
        <f t="shared" ca="1" si="4"/>
        <v>5.0196333738523015E-5</v>
      </c>
    </row>
    <row r="54" spans="1:22">
      <c r="A54" s="63" t="s">
        <v>202</v>
      </c>
      <c r="B54" s="64" t="s">
        <v>36</v>
      </c>
      <c r="C54" s="70">
        <v>59480.367599999903</v>
      </c>
      <c r="D54" s="63">
        <v>1.1999999999999999E-3</v>
      </c>
      <c r="E54" s="35">
        <f t="shared" ref="E54" si="7">+(C54-C$7)/C$8</f>
        <v>74216.581885743843</v>
      </c>
      <c r="F54">
        <f t="shared" ref="F54" si="8">ROUND(2*E54,0)/2</f>
        <v>74216.5</v>
      </c>
      <c r="G54">
        <f t="shared" ref="G54" si="9">+C54-(C$7+F54*C$8)</f>
        <v>2.796498266980052E-2</v>
      </c>
      <c r="J54">
        <f>G54</f>
        <v>2.796498266980052E-2</v>
      </c>
      <c r="O54">
        <f t="shared" ref="O54" ca="1" si="10">+C$11+C$12*$F54</f>
        <v>2.1932495086061904E-2</v>
      </c>
      <c r="Q54" s="2">
        <f t="shared" ref="Q54" si="11">+C54-15018.5</f>
        <v>44461.867599999903</v>
      </c>
      <c r="R54" s="2"/>
      <c r="S54" s="2"/>
      <c r="T54" s="2"/>
      <c r="V54">
        <f t="shared" ref="V54" ca="1" si="12">(G54-O54)^2</f>
        <v>3.6390906447960564E-5</v>
      </c>
    </row>
    <row r="55" spans="1:22">
      <c r="A55" s="63" t="s">
        <v>203</v>
      </c>
      <c r="B55" s="64" t="s">
        <v>36</v>
      </c>
      <c r="C55" s="71">
        <v>59828.366699999999</v>
      </c>
      <c r="D55" s="63">
        <v>5.9999999999999995E-4</v>
      </c>
      <c r="E55" s="35">
        <f t="shared" ref="E55:E57" si="13">+(C55-C$7)/C$8</f>
        <v>75235.576443808837</v>
      </c>
      <c r="F55">
        <f t="shared" ref="F55:F57" si="14">ROUND(2*E55,0)/2</f>
        <v>75235.5</v>
      </c>
      <c r="G55">
        <f t="shared" ref="G55:G57" si="15">+C55-(C$7+F55*C$8)</f>
        <v>2.6106495337444358E-2</v>
      </c>
      <c r="J55">
        <f t="shared" ref="J55:J57" si="16">G55</f>
        <v>2.6106495337444358E-2</v>
      </c>
      <c r="O55">
        <f t="shared" ref="O55:O57" ca="1" si="17">+C$11+C$12*$F55</f>
        <v>2.5006617755256116E-2</v>
      </c>
      <c r="Q55" s="2">
        <f t="shared" ref="Q55:Q57" si="18">+C55-15018.5</f>
        <v>44809.866699999999</v>
      </c>
      <c r="R55" s="2"/>
      <c r="S55" s="2"/>
      <c r="T55" s="2"/>
      <c r="V55">
        <f t="shared" ref="V55:V57" ca="1" si="19">(G55-O55)^2</f>
        <v>1.2097306958002512E-6</v>
      </c>
    </row>
    <row r="56" spans="1:22">
      <c r="A56" s="63" t="s">
        <v>203</v>
      </c>
      <c r="B56" s="64" t="s">
        <v>27</v>
      </c>
      <c r="C56" s="71">
        <v>59835.371599999999</v>
      </c>
      <c r="D56" s="63">
        <v>4.0000000000000002E-4</v>
      </c>
      <c r="E56" s="35">
        <f t="shared" si="13"/>
        <v>75256.087861740045</v>
      </c>
      <c r="F56">
        <f t="shared" si="14"/>
        <v>75256</v>
      </c>
      <c r="G56">
        <f t="shared" si="15"/>
        <v>3.000585843983572E-2</v>
      </c>
      <c r="J56">
        <f t="shared" si="16"/>
        <v>3.000585843983572E-2</v>
      </c>
      <c r="O56">
        <f t="shared" ca="1" si="17"/>
        <v>2.5068462225048549E-2</v>
      </c>
      <c r="Q56" s="2">
        <f t="shared" si="18"/>
        <v>44816.871599999999</v>
      </c>
      <c r="R56" s="2"/>
      <c r="S56" s="2"/>
      <c r="T56" s="2"/>
      <c r="V56">
        <f t="shared" ca="1" si="19"/>
        <v>2.4377881381794684E-5</v>
      </c>
    </row>
    <row r="57" spans="1:22">
      <c r="A57" s="63" t="s">
        <v>203</v>
      </c>
      <c r="B57" s="64" t="s">
        <v>36</v>
      </c>
      <c r="C57" s="71">
        <v>59835.538099999998</v>
      </c>
      <c r="D57" s="63">
        <v>5.0000000000000001E-4</v>
      </c>
      <c r="E57" s="35">
        <f t="shared" si="13"/>
        <v>75256.575399190333</v>
      </c>
      <c r="F57">
        <f t="shared" si="14"/>
        <v>75256.5</v>
      </c>
      <c r="G57">
        <f t="shared" si="15"/>
        <v>2.5749745349457953E-2</v>
      </c>
      <c r="J57">
        <f t="shared" si="16"/>
        <v>2.5749745349457953E-2</v>
      </c>
      <c r="O57">
        <f t="shared" ca="1" si="17"/>
        <v>2.5069970626750787E-2</v>
      </c>
      <c r="Q57" s="2">
        <f t="shared" si="18"/>
        <v>44817.038099999998</v>
      </c>
      <c r="R57" s="2"/>
      <c r="S57" s="2"/>
      <c r="T57" s="2"/>
      <c r="V57">
        <f t="shared" ca="1" si="19"/>
        <v>4.6209367363160442E-7</v>
      </c>
    </row>
    <row r="58" spans="1:22">
      <c r="C58" s="72"/>
    </row>
    <row r="59" spans="1:22">
      <c r="C59" s="72"/>
    </row>
    <row r="60" spans="1:22">
      <c r="C60" s="7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0"/>
  <sheetViews>
    <sheetView workbookViewId="0">
      <selection activeCell="A37" sqref="A37:D39"/>
    </sheetView>
  </sheetViews>
  <sheetFormatPr defaultRowHeight="12.75"/>
  <cols>
    <col min="1" max="1" width="19.7109375" style="15" customWidth="1"/>
    <col min="2" max="2" width="4.42578125" style="13" customWidth="1"/>
    <col min="3" max="3" width="12.7109375" style="15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5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48" t="s">
        <v>63</v>
      </c>
      <c r="I1" s="49" t="s">
        <v>64</v>
      </c>
      <c r="J1" s="50" t="s">
        <v>49</v>
      </c>
    </row>
    <row r="2" spans="1:16">
      <c r="I2" s="51" t="s">
        <v>65</v>
      </c>
      <c r="J2" s="52" t="s">
        <v>62</v>
      </c>
    </row>
    <row r="3" spans="1:16">
      <c r="A3" s="53" t="s">
        <v>66</v>
      </c>
      <c r="I3" s="51" t="s">
        <v>67</v>
      </c>
      <c r="J3" s="52" t="s">
        <v>60</v>
      </c>
    </row>
    <row r="4" spans="1:16">
      <c r="I4" s="51" t="s">
        <v>68</v>
      </c>
      <c r="J4" s="52" t="s">
        <v>60</v>
      </c>
    </row>
    <row r="5" spans="1:16" ht="13.5" thickBot="1">
      <c r="I5" s="54" t="s">
        <v>69</v>
      </c>
      <c r="J5" s="55" t="s">
        <v>61</v>
      </c>
    </row>
    <row r="10" spans="1:16" ht="13.5" thickBot="1"/>
    <row r="11" spans="1:16" ht="12.75" customHeight="1" thickBot="1">
      <c r="A11" s="15" t="str">
        <f t="shared" ref="A11:A39" si="0">P11</f>
        <v>IBVS 5263 </v>
      </c>
      <c r="B11" s="3" t="str">
        <f t="shared" ref="B11:B39" si="1">IF(H11=INT(H11),"I","II")</f>
        <v>I</v>
      </c>
      <c r="C11" s="15">
        <f t="shared" ref="C11:C39" si="2">1*G11</f>
        <v>51378.453600000001</v>
      </c>
      <c r="D11" s="13" t="str">
        <f t="shared" ref="D11:D39" si="3">VLOOKUP(F11,I$1:J$5,2,FALSE)</f>
        <v>vis</v>
      </c>
      <c r="E11" s="56">
        <f>VLOOKUP(C11,Active!C$21:E$973,3,FALSE)</f>
        <v>50492.939278885788</v>
      </c>
      <c r="F11" s="3" t="s">
        <v>69</v>
      </c>
      <c r="G11" s="13" t="str">
        <f t="shared" ref="G11:G39" si="4">MID(I11,3,LEN(I11)-3)</f>
        <v>51378.4536</v>
      </c>
      <c r="H11" s="15">
        <f t="shared" ref="H11:H39" si="5">1*K11</f>
        <v>50496</v>
      </c>
      <c r="I11" s="57" t="s">
        <v>76</v>
      </c>
      <c r="J11" s="58" t="s">
        <v>77</v>
      </c>
      <c r="K11" s="57">
        <v>50496</v>
      </c>
      <c r="L11" s="57" t="s">
        <v>78</v>
      </c>
      <c r="M11" s="58" t="s">
        <v>79</v>
      </c>
      <c r="N11" s="58" t="s">
        <v>80</v>
      </c>
      <c r="O11" s="59" t="s">
        <v>81</v>
      </c>
      <c r="P11" s="60" t="s">
        <v>82</v>
      </c>
    </row>
    <row r="12" spans="1:16" ht="12.75" customHeight="1" thickBot="1">
      <c r="A12" s="15" t="str">
        <f t="shared" si="0"/>
        <v> BBS 121 </v>
      </c>
      <c r="B12" s="3" t="str">
        <f t="shared" si="1"/>
        <v>II</v>
      </c>
      <c r="C12" s="15">
        <f t="shared" si="2"/>
        <v>51462.294300000001</v>
      </c>
      <c r="D12" s="13" t="str">
        <f t="shared" si="3"/>
        <v>vis</v>
      </c>
      <c r="E12" s="56">
        <f>VLOOKUP(C12,Active!C$21:E$973,3,FALSE)</f>
        <v>50738.437663922814</v>
      </c>
      <c r="F12" s="3" t="s">
        <v>69</v>
      </c>
      <c r="G12" s="13" t="str">
        <f t="shared" si="4"/>
        <v>51462.2943</v>
      </c>
      <c r="H12" s="15">
        <f t="shared" si="5"/>
        <v>50741.5</v>
      </c>
      <c r="I12" s="57" t="s">
        <v>83</v>
      </c>
      <c r="J12" s="58" t="s">
        <v>84</v>
      </c>
      <c r="K12" s="57">
        <v>50741.5</v>
      </c>
      <c r="L12" s="57" t="s">
        <v>85</v>
      </c>
      <c r="M12" s="58" t="s">
        <v>79</v>
      </c>
      <c r="N12" s="58" t="s">
        <v>80</v>
      </c>
      <c r="O12" s="59" t="s">
        <v>86</v>
      </c>
      <c r="P12" s="59" t="s">
        <v>87</v>
      </c>
    </row>
    <row r="13" spans="1:16" ht="12.75" customHeight="1" thickBot="1">
      <c r="A13" s="15" t="str">
        <f t="shared" si="0"/>
        <v>IBVS 5287 </v>
      </c>
      <c r="B13" s="3" t="str">
        <f t="shared" si="1"/>
        <v>I</v>
      </c>
      <c r="C13" s="15">
        <f t="shared" si="2"/>
        <v>51635.616099999999</v>
      </c>
      <c r="D13" s="13" t="str">
        <f t="shared" si="3"/>
        <v>vis</v>
      </c>
      <c r="E13" s="56">
        <f>VLOOKUP(C13,Active!C$21:E$973,3,FALSE)</f>
        <v>51245.95038735796</v>
      </c>
      <c r="F13" s="3" t="s">
        <v>69</v>
      </c>
      <c r="G13" s="13" t="str">
        <f t="shared" si="4"/>
        <v>51635.6161</v>
      </c>
      <c r="H13" s="15">
        <f t="shared" si="5"/>
        <v>51249</v>
      </c>
      <c r="I13" s="57" t="s">
        <v>88</v>
      </c>
      <c r="J13" s="58" t="s">
        <v>89</v>
      </c>
      <c r="K13" s="57">
        <v>51249</v>
      </c>
      <c r="L13" s="57" t="s">
        <v>90</v>
      </c>
      <c r="M13" s="58" t="s">
        <v>79</v>
      </c>
      <c r="N13" s="58" t="s">
        <v>80</v>
      </c>
      <c r="O13" s="59" t="s">
        <v>81</v>
      </c>
      <c r="P13" s="60" t="s">
        <v>91</v>
      </c>
    </row>
    <row r="14" spans="1:16" ht="12.75" customHeight="1" thickBot="1">
      <c r="A14" s="15" t="str">
        <f t="shared" si="0"/>
        <v>BAVM 172 </v>
      </c>
      <c r="B14" s="3" t="str">
        <f t="shared" si="1"/>
        <v>II</v>
      </c>
      <c r="C14" s="15">
        <f t="shared" si="2"/>
        <v>51799.368600000002</v>
      </c>
      <c r="D14" s="13" t="str">
        <f t="shared" si="3"/>
        <v>vis</v>
      </c>
      <c r="E14" s="56">
        <f>VLOOKUP(C14,Active!C$21:E$973,3,FALSE)</f>
        <v>51725.442737681551</v>
      </c>
      <c r="F14" s="3" t="s">
        <v>69</v>
      </c>
      <c r="G14" s="13" t="str">
        <f t="shared" si="4"/>
        <v>51799.3686</v>
      </c>
      <c r="H14" s="15">
        <f t="shared" si="5"/>
        <v>51728.5</v>
      </c>
      <c r="I14" s="57" t="s">
        <v>92</v>
      </c>
      <c r="J14" s="58" t="s">
        <v>93</v>
      </c>
      <c r="K14" s="57">
        <v>51728.5</v>
      </c>
      <c r="L14" s="57" t="s">
        <v>94</v>
      </c>
      <c r="M14" s="58" t="s">
        <v>79</v>
      </c>
      <c r="N14" s="58" t="s">
        <v>95</v>
      </c>
      <c r="O14" s="59" t="s">
        <v>96</v>
      </c>
      <c r="P14" s="60" t="s">
        <v>97</v>
      </c>
    </row>
    <row r="15" spans="1:16" ht="12.75" customHeight="1" thickBot="1">
      <c r="A15" s="15" t="str">
        <f t="shared" si="0"/>
        <v>BAVM 172 </v>
      </c>
      <c r="B15" s="3" t="str">
        <f t="shared" si="1"/>
        <v>I</v>
      </c>
      <c r="C15" s="15">
        <f t="shared" si="2"/>
        <v>51799.541100000002</v>
      </c>
      <c r="D15" s="13" t="str">
        <f t="shared" si="3"/>
        <v>vis</v>
      </c>
      <c r="E15" s="56">
        <f>VLOOKUP(C15,Active!C$21:E$973,3,FALSE)</f>
        <v>51725.947844048969</v>
      </c>
      <c r="F15" s="3" t="s">
        <v>69</v>
      </c>
      <c r="G15" s="13" t="str">
        <f t="shared" si="4"/>
        <v>51799.5411</v>
      </c>
      <c r="H15" s="15">
        <f t="shared" si="5"/>
        <v>51729</v>
      </c>
      <c r="I15" s="57" t="s">
        <v>98</v>
      </c>
      <c r="J15" s="58" t="s">
        <v>99</v>
      </c>
      <c r="K15" s="57">
        <v>51729</v>
      </c>
      <c r="L15" s="57" t="s">
        <v>100</v>
      </c>
      <c r="M15" s="58" t="s">
        <v>79</v>
      </c>
      <c r="N15" s="58" t="s">
        <v>95</v>
      </c>
      <c r="O15" s="59" t="s">
        <v>96</v>
      </c>
      <c r="P15" s="60" t="s">
        <v>97</v>
      </c>
    </row>
    <row r="16" spans="1:16" ht="12.75" customHeight="1" thickBot="1">
      <c r="A16" s="15" t="str">
        <f t="shared" si="0"/>
        <v> BBS 124 </v>
      </c>
      <c r="B16" s="3" t="str">
        <f t="shared" si="1"/>
        <v>I</v>
      </c>
      <c r="C16" s="15">
        <f t="shared" si="2"/>
        <v>51806.362000000001</v>
      </c>
      <c r="D16" s="13" t="str">
        <f t="shared" si="3"/>
        <v>vis</v>
      </c>
      <c r="E16" s="56">
        <f>VLOOKUP(C16,Active!C$21:E$973,3,FALSE)</f>
        <v>51745.920481854941</v>
      </c>
      <c r="F16" s="3" t="s">
        <v>69</v>
      </c>
      <c r="G16" s="13" t="str">
        <f t="shared" si="4"/>
        <v>51806.362</v>
      </c>
      <c r="H16" s="15">
        <f t="shared" si="5"/>
        <v>51749</v>
      </c>
      <c r="I16" s="57" t="s">
        <v>101</v>
      </c>
      <c r="J16" s="58" t="s">
        <v>102</v>
      </c>
      <c r="K16" s="57">
        <v>51749</v>
      </c>
      <c r="L16" s="57" t="s">
        <v>103</v>
      </c>
      <c r="M16" s="58" t="s">
        <v>79</v>
      </c>
      <c r="N16" s="58" t="s">
        <v>80</v>
      </c>
      <c r="O16" s="59" t="s">
        <v>86</v>
      </c>
      <c r="P16" s="59" t="s">
        <v>104</v>
      </c>
    </row>
    <row r="17" spans="1:16" ht="12.75" customHeight="1" thickBot="1">
      <c r="A17" s="15" t="str">
        <f t="shared" si="0"/>
        <v> BBS 124 </v>
      </c>
      <c r="B17" s="3" t="str">
        <f t="shared" si="1"/>
        <v>II</v>
      </c>
      <c r="C17" s="15">
        <f t="shared" si="2"/>
        <v>51806.542999999998</v>
      </c>
      <c r="D17" s="13" t="str">
        <f t="shared" si="3"/>
        <v>vis</v>
      </c>
      <c r="E17" s="56">
        <f>VLOOKUP(C17,Active!C$21:E$973,3,FALSE)</f>
        <v>51746.450477521612</v>
      </c>
      <c r="F17" s="3" t="s">
        <v>69</v>
      </c>
      <c r="G17" s="13" t="str">
        <f t="shared" si="4"/>
        <v>51806.543</v>
      </c>
      <c r="H17" s="15">
        <f t="shared" si="5"/>
        <v>51749.5</v>
      </c>
      <c r="I17" s="57" t="s">
        <v>105</v>
      </c>
      <c r="J17" s="58" t="s">
        <v>106</v>
      </c>
      <c r="K17" s="57">
        <v>51749.5</v>
      </c>
      <c r="L17" s="57" t="s">
        <v>107</v>
      </c>
      <c r="M17" s="58" t="s">
        <v>79</v>
      </c>
      <c r="N17" s="58" t="s">
        <v>80</v>
      </c>
      <c r="O17" s="59" t="s">
        <v>86</v>
      </c>
      <c r="P17" s="59" t="s">
        <v>104</v>
      </c>
    </row>
    <row r="18" spans="1:16" ht="12.75" customHeight="1" thickBot="1">
      <c r="A18" s="15" t="str">
        <f t="shared" si="0"/>
        <v>OEJV 0074 </v>
      </c>
      <c r="B18" s="3" t="str">
        <f t="shared" si="1"/>
        <v>I</v>
      </c>
      <c r="C18" s="15">
        <f t="shared" si="2"/>
        <v>52133.539700000001</v>
      </c>
      <c r="D18" s="13" t="str">
        <f t="shared" si="3"/>
        <v>vis</v>
      </c>
      <c r="E18" s="56">
        <f>VLOOKUP(C18,Active!C$21:E$973,3,FALSE)</f>
        <v>52703.9467980728</v>
      </c>
      <c r="F18" s="3" t="s">
        <v>69</v>
      </c>
      <c r="G18" s="13" t="str">
        <f t="shared" si="4"/>
        <v>52133.53970</v>
      </c>
      <c r="H18" s="15">
        <f t="shared" si="5"/>
        <v>52707</v>
      </c>
      <c r="I18" s="57" t="s">
        <v>108</v>
      </c>
      <c r="J18" s="58" t="s">
        <v>109</v>
      </c>
      <c r="K18" s="57">
        <v>52707</v>
      </c>
      <c r="L18" s="57" t="s">
        <v>110</v>
      </c>
      <c r="M18" s="58" t="s">
        <v>111</v>
      </c>
      <c r="N18" s="58" t="s">
        <v>95</v>
      </c>
      <c r="O18" s="59" t="s">
        <v>112</v>
      </c>
      <c r="P18" s="60" t="s">
        <v>113</v>
      </c>
    </row>
    <row r="19" spans="1:16" ht="12.75" customHeight="1" thickBot="1">
      <c r="A19" s="15" t="str">
        <f t="shared" si="0"/>
        <v>BAVM 172 </v>
      </c>
      <c r="B19" s="3" t="str">
        <f t="shared" si="1"/>
        <v>I</v>
      </c>
      <c r="C19" s="15">
        <f t="shared" si="2"/>
        <v>52463.439100000003</v>
      </c>
      <c r="D19" s="13" t="str">
        <f t="shared" si="3"/>
        <v>vis</v>
      </c>
      <c r="E19" s="56">
        <f>VLOOKUP(C19,Active!C$21:E$973,3,FALSE)</f>
        <v>53669.942667915042</v>
      </c>
      <c r="F19" s="3" t="s">
        <v>69</v>
      </c>
      <c r="G19" s="13" t="str">
        <f t="shared" si="4"/>
        <v>52463.4391</v>
      </c>
      <c r="H19" s="15">
        <f t="shared" si="5"/>
        <v>53673</v>
      </c>
      <c r="I19" s="57" t="s">
        <v>114</v>
      </c>
      <c r="J19" s="58" t="s">
        <v>115</v>
      </c>
      <c r="K19" s="57">
        <v>53673</v>
      </c>
      <c r="L19" s="57" t="s">
        <v>116</v>
      </c>
      <c r="M19" s="58" t="s">
        <v>79</v>
      </c>
      <c r="N19" s="58" t="s">
        <v>95</v>
      </c>
      <c r="O19" s="59" t="s">
        <v>96</v>
      </c>
      <c r="P19" s="60" t="s">
        <v>97</v>
      </c>
    </row>
    <row r="20" spans="1:16" ht="12.75" customHeight="1" thickBot="1">
      <c r="A20" s="15" t="str">
        <f t="shared" si="0"/>
        <v>OEJV 0074 </v>
      </c>
      <c r="B20" s="3" t="str">
        <f t="shared" si="1"/>
        <v>I</v>
      </c>
      <c r="C20" s="15">
        <f t="shared" si="2"/>
        <v>52490.4162</v>
      </c>
      <c r="D20" s="13" t="str">
        <f t="shared" si="3"/>
        <v>vis</v>
      </c>
      <c r="E20" s="56">
        <f>VLOOKUP(C20,Active!C$21:E$973,3,FALSE)</f>
        <v>53748.93574028898</v>
      </c>
      <c r="F20" s="3" t="s">
        <v>69</v>
      </c>
      <c r="G20" s="13" t="str">
        <f t="shared" si="4"/>
        <v>52490.41620</v>
      </c>
      <c r="H20" s="15">
        <f t="shared" si="5"/>
        <v>53752</v>
      </c>
      <c r="I20" s="57" t="s">
        <v>117</v>
      </c>
      <c r="J20" s="58" t="s">
        <v>118</v>
      </c>
      <c r="K20" s="57">
        <v>53752</v>
      </c>
      <c r="L20" s="57" t="s">
        <v>119</v>
      </c>
      <c r="M20" s="58" t="s">
        <v>111</v>
      </c>
      <c r="N20" s="58" t="s">
        <v>95</v>
      </c>
      <c r="O20" s="59" t="s">
        <v>120</v>
      </c>
      <c r="P20" s="60" t="s">
        <v>113</v>
      </c>
    </row>
    <row r="21" spans="1:16" ht="12.75" customHeight="1" thickBot="1">
      <c r="A21" s="15" t="str">
        <f t="shared" si="0"/>
        <v>BAVM 172 </v>
      </c>
      <c r="B21" s="3" t="str">
        <f t="shared" si="1"/>
        <v>II</v>
      </c>
      <c r="C21" s="15">
        <f t="shared" si="2"/>
        <v>52876.4951</v>
      </c>
      <c r="D21" s="13" t="str">
        <f t="shared" si="3"/>
        <v>vis</v>
      </c>
      <c r="E21" s="56">
        <f>VLOOKUP(C21,Active!C$21:E$973,3,FALSE)</f>
        <v>54879.433773426455</v>
      </c>
      <c r="F21" s="3" t="s">
        <v>69</v>
      </c>
      <c r="G21" s="13" t="str">
        <f t="shared" si="4"/>
        <v>52876.4951</v>
      </c>
      <c r="H21" s="15">
        <f t="shared" si="5"/>
        <v>54882.5</v>
      </c>
      <c r="I21" s="57" t="s">
        <v>121</v>
      </c>
      <c r="J21" s="58" t="s">
        <v>122</v>
      </c>
      <c r="K21" s="57">
        <v>54882.5</v>
      </c>
      <c r="L21" s="57" t="s">
        <v>123</v>
      </c>
      <c r="M21" s="58" t="s">
        <v>79</v>
      </c>
      <c r="N21" s="58" t="s">
        <v>95</v>
      </c>
      <c r="O21" s="59" t="s">
        <v>96</v>
      </c>
      <c r="P21" s="60" t="s">
        <v>97</v>
      </c>
    </row>
    <row r="22" spans="1:16" ht="12.75" customHeight="1" thickBot="1">
      <c r="A22" s="15" t="str">
        <f t="shared" si="0"/>
        <v>OEJV 0074 </v>
      </c>
      <c r="B22" s="3" t="str">
        <f t="shared" si="1"/>
        <v>I</v>
      </c>
      <c r="C22" s="15">
        <f t="shared" si="2"/>
        <v>53228.420279999998</v>
      </c>
      <c r="D22" s="13" t="str">
        <f t="shared" si="3"/>
        <v>vis</v>
      </c>
      <c r="E22" s="56">
        <f>VLOOKUP(C22,Active!C$21:E$973,3,FALSE)</f>
        <v>55909.924493850573</v>
      </c>
      <c r="F22" s="3" t="s">
        <v>69</v>
      </c>
      <c r="G22" s="13" t="str">
        <f t="shared" si="4"/>
        <v>53228.42028</v>
      </c>
      <c r="H22" s="15">
        <f t="shared" si="5"/>
        <v>55913</v>
      </c>
      <c r="I22" s="57" t="s">
        <v>124</v>
      </c>
      <c r="J22" s="58" t="s">
        <v>125</v>
      </c>
      <c r="K22" s="57">
        <v>55913</v>
      </c>
      <c r="L22" s="57" t="s">
        <v>126</v>
      </c>
      <c r="M22" s="58" t="s">
        <v>111</v>
      </c>
      <c r="N22" s="58" t="s">
        <v>64</v>
      </c>
      <c r="O22" s="59" t="s">
        <v>127</v>
      </c>
      <c r="P22" s="60" t="s">
        <v>113</v>
      </c>
    </row>
    <row r="23" spans="1:16" ht="12.75" customHeight="1" thickBot="1">
      <c r="A23" s="15" t="str">
        <f t="shared" si="0"/>
        <v>IBVS 5690 </v>
      </c>
      <c r="B23" s="3" t="str">
        <f t="shared" si="1"/>
        <v>II</v>
      </c>
      <c r="C23" s="15">
        <f t="shared" si="2"/>
        <v>53297.5772</v>
      </c>
      <c r="D23" s="13" t="str">
        <f t="shared" si="3"/>
        <v>vis</v>
      </c>
      <c r="E23" s="56">
        <f>VLOOKUP(C23,Active!C$21:E$973,3,FALSE)</f>
        <v>56112.426526564217</v>
      </c>
      <c r="F23" s="3" t="s">
        <v>69</v>
      </c>
      <c r="G23" s="13" t="str">
        <f t="shared" si="4"/>
        <v>53297.5772</v>
      </c>
      <c r="H23" s="15">
        <f t="shared" si="5"/>
        <v>56115.5</v>
      </c>
      <c r="I23" s="57" t="s">
        <v>128</v>
      </c>
      <c r="J23" s="58" t="s">
        <v>129</v>
      </c>
      <c r="K23" s="57">
        <v>56115.5</v>
      </c>
      <c r="L23" s="57" t="s">
        <v>130</v>
      </c>
      <c r="M23" s="58" t="s">
        <v>79</v>
      </c>
      <c r="N23" s="58" t="s">
        <v>80</v>
      </c>
      <c r="O23" s="59" t="s">
        <v>131</v>
      </c>
      <c r="P23" s="60" t="s">
        <v>132</v>
      </c>
    </row>
    <row r="24" spans="1:16" ht="12.75" customHeight="1" thickBot="1">
      <c r="A24" s="15" t="str">
        <f t="shared" si="0"/>
        <v>IBVS 5690 </v>
      </c>
      <c r="B24" s="3" t="str">
        <f t="shared" si="1"/>
        <v>I</v>
      </c>
      <c r="C24" s="15">
        <f t="shared" si="2"/>
        <v>53306.631800000003</v>
      </c>
      <c r="D24" s="13" t="str">
        <f t="shared" si="3"/>
        <v>vis</v>
      </c>
      <c r="E24" s="56">
        <f>VLOOKUP(C24,Active!C$21:E$973,3,FALSE)</f>
        <v>56138.939779401524</v>
      </c>
      <c r="F24" s="3" t="s">
        <v>69</v>
      </c>
      <c r="G24" s="13" t="str">
        <f t="shared" si="4"/>
        <v>53306.6318</v>
      </c>
      <c r="H24" s="15">
        <f t="shared" si="5"/>
        <v>56142</v>
      </c>
      <c r="I24" s="57" t="s">
        <v>133</v>
      </c>
      <c r="J24" s="58" t="s">
        <v>134</v>
      </c>
      <c r="K24" s="57">
        <v>56142</v>
      </c>
      <c r="L24" s="57" t="s">
        <v>135</v>
      </c>
      <c r="M24" s="58" t="s">
        <v>79</v>
      </c>
      <c r="N24" s="58" t="s">
        <v>80</v>
      </c>
      <c r="O24" s="59" t="s">
        <v>131</v>
      </c>
      <c r="P24" s="60" t="s">
        <v>132</v>
      </c>
    </row>
    <row r="25" spans="1:16" ht="12.75" customHeight="1" thickBot="1">
      <c r="A25" s="15" t="str">
        <f t="shared" si="0"/>
        <v>BAVM 178 </v>
      </c>
      <c r="B25" s="3" t="str">
        <f t="shared" si="1"/>
        <v>I</v>
      </c>
      <c r="C25" s="15">
        <f t="shared" si="2"/>
        <v>53578.471899999997</v>
      </c>
      <c r="D25" s="13" t="str">
        <f t="shared" si="3"/>
        <v>vis</v>
      </c>
      <c r="E25" s="56">
        <f>VLOOKUP(C25,Active!C$21:E$973,3,FALSE)</f>
        <v>56934.929144212423</v>
      </c>
      <c r="F25" s="3" t="s">
        <v>69</v>
      </c>
      <c r="G25" s="13" t="str">
        <f t="shared" si="4"/>
        <v>53578.4719</v>
      </c>
      <c r="H25" s="15">
        <f t="shared" si="5"/>
        <v>56938</v>
      </c>
      <c r="I25" s="57" t="s">
        <v>136</v>
      </c>
      <c r="J25" s="58" t="s">
        <v>137</v>
      </c>
      <c r="K25" s="57">
        <v>56938</v>
      </c>
      <c r="L25" s="57" t="s">
        <v>138</v>
      </c>
      <c r="M25" s="58" t="s">
        <v>111</v>
      </c>
      <c r="N25" s="58" t="s">
        <v>139</v>
      </c>
      <c r="O25" s="59" t="s">
        <v>96</v>
      </c>
      <c r="P25" s="60" t="s">
        <v>140</v>
      </c>
    </row>
    <row r="26" spans="1:16" ht="12.75" customHeight="1" thickBot="1">
      <c r="A26" s="15" t="str">
        <f t="shared" si="0"/>
        <v>BAVM 178 </v>
      </c>
      <c r="B26" s="3" t="str">
        <f t="shared" si="1"/>
        <v>I</v>
      </c>
      <c r="C26" s="15">
        <f t="shared" si="2"/>
        <v>53602.376100000001</v>
      </c>
      <c r="D26" s="13" t="str">
        <f t="shared" si="3"/>
        <v>vis</v>
      </c>
      <c r="E26" s="56">
        <f>VLOOKUP(C26,Active!C$21:E$973,3,FALSE)</f>
        <v>57004.924295679462</v>
      </c>
      <c r="F26" s="3" t="s">
        <v>69</v>
      </c>
      <c r="G26" s="13" t="str">
        <f t="shared" si="4"/>
        <v>53602.3761</v>
      </c>
      <c r="H26" s="15">
        <f t="shared" si="5"/>
        <v>57008</v>
      </c>
      <c r="I26" s="57" t="s">
        <v>141</v>
      </c>
      <c r="J26" s="58" t="s">
        <v>142</v>
      </c>
      <c r="K26" s="57" t="s">
        <v>143</v>
      </c>
      <c r="L26" s="57" t="s">
        <v>144</v>
      </c>
      <c r="M26" s="58" t="s">
        <v>111</v>
      </c>
      <c r="N26" s="58" t="s">
        <v>139</v>
      </c>
      <c r="O26" s="59" t="s">
        <v>96</v>
      </c>
      <c r="P26" s="60" t="s">
        <v>140</v>
      </c>
    </row>
    <row r="27" spans="1:16" ht="12.75" customHeight="1" thickBot="1">
      <c r="A27" s="15" t="str">
        <f t="shared" si="0"/>
        <v>BAVM 178 </v>
      </c>
      <c r="B27" s="3" t="str">
        <f t="shared" si="1"/>
        <v>II</v>
      </c>
      <c r="C27" s="15">
        <f t="shared" si="2"/>
        <v>53613.4755</v>
      </c>
      <c r="D27" s="13" t="str">
        <f t="shared" si="3"/>
        <v>vis</v>
      </c>
      <c r="E27" s="56">
        <f>VLOOKUP(C27,Active!C$21:E$973,3,FALSE)</f>
        <v>57037.425035473854</v>
      </c>
      <c r="F27" s="3" t="s">
        <v>69</v>
      </c>
      <c r="G27" s="13" t="str">
        <f t="shared" si="4"/>
        <v>53613.4755</v>
      </c>
      <c r="H27" s="15">
        <f t="shared" si="5"/>
        <v>57040.5</v>
      </c>
      <c r="I27" s="57" t="s">
        <v>145</v>
      </c>
      <c r="J27" s="58" t="s">
        <v>146</v>
      </c>
      <c r="K27" s="57" t="s">
        <v>147</v>
      </c>
      <c r="L27" s="57" t="s">
        <v>148</v>
      </c>
      <c r="M27" s="58" t="s">
        <v>111</v>
      </c>
      <c r="N27" s="58" t="s">
        <v>139</v>
      </c>
      <c r="O27" s="59" t="s">
        <v>96</v>
      </c>
      <c r="P27" s="60" t="s">
        <v>140</v>
      </c>
    </row>
    <row r="28" spans="1:16" ht="12.75" customHeight="1" thickBot="1">
      <c r="A28" s="15" t="str">
        <f t="shared" si="0"/>
        <v>BAVM 178 </v>
      </c>
      <c r="B28" s="3" t="str">
        <f t="shared" si="1"/>
        <v>I</v>
      </c>
      <c r="C28" s="15">
        <f t="shared" si="2"/>
        <v>53681.2624</v>
      </c>
      <c r="D28" s="13" t="str">
        <f t="shared" si="3"/>
        <v>vis</v>
      </c>
      <c r="E28" s="56">
        <f>VLOOKUP(C28,Active!C$21:E$973,3,FALSE)</f>
        <v>57235.915440213626</v>
      </c>
      <c r="F28" s="3" t="s">
        <v>69</v>
      </c>
      <c r="G28" s="13" t="str">
        <f t="shared" si="4"/>
        <v>53681.2624</v>
      </c>
      <c r="H28" s="15">
        <f t="shared" si="5"/>
        <v>57239</v>
      </c>
      <c r="I28" s="57" t="s">
        <v>149</v>
      </c>
      <c r="J28" s="58" t="s">
        <v>150</v>
      </c>
      <c r="K28" s="57" t="s">
        <v>151</v>
      </c>
      <c r="L28" s="57" t="s">
        <v>152</v>
      </c>
      <c r="M28" s="58" t="s">
        <v>111</v>
      </c>
      <c r="N28" s="58" t="s">
        <v>95</v>
      </c>
      <c r="O28" s="59" t="s">
        <v>153</v>
      </c>
      <c r="P28" s="60" t="s">
        <v>140</v>
      </c>
    </row>
    <row r="29" spans="1:16" ht="12.75" customHeight="1" thickBot="1">
      <c r="A29" s="15" t="str">
        <f t="shared" si="0"/>
        <v>BAVM 183 </v>
      </c>
      <c r="B29" s="3" t="str">
        <f t="shared" si="1"/>
        <v>I</v>
      </c>
      <c r="C29" s="15">
        <f t="shared" si="2"/>
        <v>53992.385300000002</v>
      </c>
      <c r="D29" s="13" t="str">
        <f t="shared" si="3"/>
        <v>vis</v>
      </c>
      <c r="E29" s="56">
        <f>VLOOKUP(C29,Active!C$21:E$973,3,FALSE)</f>
        <v>58146.930847981399</v>
      </c>
      <c r="F29" s="3" t="s">
        <v>69</v>
      </c>
      <c r="G29" s="13" t="str">
        <f t="shared" si="4"/>
        <v>53992.3853</v>
      </c>
      <c r="H29" s="15">
        <f t="shared" si="5"/>
        <v>58150</v>
      </c>
      <c r="I29" s="57" t="s">
        <v>154</v>
      </c>
      <c r="J29" s="58" t="s">
        <v>155</v>
      </c>
      <c r="K29" s="57" t="s">
        <v>156</v>
      </c>
      <c r="L29" s="57" t="s">
        <v>157</v>
      </c>
      <c r="M29" s="58" t="s">
        <v>111</v>
      </c>
      <c r="N29" s="58" t="s">
        <v>139</v>
      </c>
      <c r="O29" s="59" t="s">
        <v>96</v>
      </c>
      <c r="P29" s="60" t="s">
        <v>158</v>
      </c>
    </row>
    <row r="30" spans="1:16" ht="12.75" customHeight="1" thickBot="1">
      <c r="A30" s="15" t="str">
        <f t="shared" si="0"/>
        <v>BAVM 183 </v>
      </c>
      <c r="B30" s="3" t="str">
        <f t="shared" si="1"/>
        <v>II</v>
      </c>
      <c r="C30" s="15">
        <f t="shared" si="2"/>
        <v>53992.552900000002</v>
      </c>
      <c r="D30" s="13" t="str">
        <f t="shared" si="3"/>
        <v>vis</v>
      </c>
      <c r="E30" s="56">
        <f>VLOOKUP(C30,Active!C$21:E$973,3,FALSE)</f>
        <v>58147.421606399832</v>
      </c>
      <c r="F30" s="3" t="s">
        <v>69</v>
      </c>
      <c r="G30" s="13" t="str">
        <f t="shared" si="4"/>
        <v>53992.5529</v>
      </c>
      <c r="H30" s="15">
        <f t="shared" si="5"/>
        <v>58150.5</v>
      </c>
      <c r="I30" s="57" t="s">
        <v>159</v>
      </c>
      <c r="J30" s="58" t="s">
        <v>160</v>
      </c>
      <c r="K30" s="57" t="s">
        <v>161</v>
      </c>
      <c r="L30" s="57" t="s">
        <v>162</v>
      </c>
      <c r="M30" s="58" t="s">
        <v>111</v>
      </c>
      <c r="N30" s="58" t="s">
        <v>139</v>
      </c>
      <c r="O30" s="59" t="s">
        <v>96</v>
      </c>
      <c r="P30" s="60" t="s">
        <v>158</v>
      </c>
    </row>
    <row r="31" spans="1:16" ht="12.75" customHeight="1" thickBot="1">
      <c r="A31" s="15" t="str">
        <f t="shared" si="0"/>
        <v>BAVM 183 </v>
      </c>
      <c r="B31" s="3" t="str">
        <f t="shared" si="1"/>
        <v>II</v>
      </c>
      <c r="C31" s="15">
        <f t="shared" si="2"/>
        <v>54023.291899999997</v>
      </c>
      <c r="D31" s="13" t="str">
        <f t="shared" si="3"/>
        <v>vis</v>
      </c>
      <c r="E31" s="56">
        <f>VLOOKUP(C31,Active!C$21:E$973,3,FALSE)</f>
        <v>58237.430096997494</v>
      </c>
      <c r="F31" s="3" t="s">
        <v>69</v>
      </c>
      <c r="G31" s="13" t="str">
        <f t="shared" si="4"/>
        <v>54023.2919</v>
      </c>
      <c r="H31" s="15">
        <f t="shared" si="5"/>
        <v>58240.5</v>
      </c>
      <c r="I31" s="57" t="s">
        <v>163</v>
      </c>
      <c r="J31" s="58" t="s">
        <v>164</v>
      </c>
      <c r="K31" s="57" t="s">
        <v>165</v>
      </c>
      <c r="L31" s="57" t="s">
        <v>166</v>
      </c>
      <c r="M31" s="58" t="s">
        <v>111</v>
      </c>
      <c r="N31" s="58" t="s">
        <v>139</v>
      </c>
      <c r="O31" s="59" t="s">
        <v>74</v>
      </c>
      <c r="P31" s="60" t="s">
        <v>158</v>
      </c>
    </row>
    <row r="32" spans="1:16" ht="12.75" customHeight="1" thickBot="1">
      <c r="A32" s="15" t="str">
        <f t="shared" si="0"/>
        <v>BAVM 209 </v>
      </c>
      <c r="B32" s="3" t="str">
        <f t="shared" si="1"/>
        <v>II</v>
      </c>
      <c r="C32" s="15">
        <f t="shared" si="2"/>
        <v>54512.680899999999</v>
      </c>
      <c r="D32" s="13" t="str">
        <f t="shared" si="3"/>
        <v>vis</v>
      </c>
      <c r="E32" s="56">
        <f>VLOOKUP(C32,Active!C$21:E$973,3,FALSE)</f>
        <v>59670.435894359434</v>
      </c>
      <c r="F32" s="3" t="s">
        <v>69</v>
      </c>
      <c r="G32" s="13" t="str">
        <f t="shared" si="4"/>
        <v>54512.6809</v>
      </c>
      <c r="H32" s="15">
        <f t="shared" si="5"/>
        <v>59673.5</v>
      </c>
      <c r="I32" s="57" t="s">
        <v>167</v>
      </c>
      <c r="J32" s="58" t="s">
        <v>168</v>
      </c>
      <c r="K32" s="57" t="s">
        <v>169</v>
      </c>
      <c r="L32" s="57" t="s">
        <v>170</v>
      </c>
      <c r="M32" s="58" t="s">
        <v>111</v>
      </c>
      <c r="N32" s="58" t="s">
        <v>95</v>
      </c>
      <c r="O32" s="59" t="s">
        <v>171</v>
      </c>
      <c r="P32" s="60" t="s">
        <v>172</v>
      </c>
    </row>
    <row r="33" spans="1:16" ht="12.75" customHeight="1" thickBot="1">
      <c r="A33" s="15" t="str">
        <f t="shared" si="0"/>
        <v>BAVM 215 </v>
      </c>
      <c r="B33" s="3" t="str">
        <f t="shared" si="1"/>
        <v>I</v>
      </c>
      <c r="C33" s="15">
        <f t="shared" si="2"/>
        <v>55478.3105</v>
      </c>
      <c r="D33" s="13" t="str">
        <f t="shared" si="3"/>
        <v>vis</v>
      </c>
      <c r="E33" s="56">
        <f>VLOOKUP(C33,Active!C$21:E$973,3,FALSE)</f>
        <v>62497.946964089817</v>
      </c>
      <c r="F33" s="3" t="s">
        <v>69</v>
      </c>
      <c r="G33" s="13" t="str">
        <f t="shared" si="4"/>
        <v>55478.3105</v>
      </c>
      <c r="H33" s="15">
        <f t="shared" si="5"/>
        <v>62501</v>
      </c>
      <c r="I33" s="57" t="s">
        <v>173</v>
      </c>
      <c r="J33" s="58" t="s">
        <v>174</v>
      </c>
      <c r="K33" s="57" t="s">
        <v>175</v>
      </c>
      <c r="L33" s="57" t="s">
        <v>176</v>
      </c>
      <c r="M33" s="58" t="s">
        <v>111</v>
      </c>
      <c r="N33" s="58" t="s">
        <v>139</v>
      </c>
      <c r="O33" s="59" t="s">
        <v>96</v>
      </c>
      <c r="P33" s="60" t="s">
        <v>177</v>
      </c>
    </row>
    <row r="34" spans="1:16" ht="12.75" customHeight="1" thickBot="1">
      <c r="A34" s="15" t="str">
        <f t="shared" si="0"/>
        <v>BAVM 215 </v>
      </c>
      <c r="B34" s="3" t="str">
        <f t="shared" si="1"/>
        <v>II</v>
      </c>
      <c r="C34" s="15">
        <f t="shared" si="2"/>
        <v>55478.480900000002</v>
      </c>
      <c r="D34" s="13" t="str">
        <f t="shared" si="3"/>
        <v>vis</v>
      </c>
      <c r="E34" s="56">
        <f>VLOOKUP(C34,Active!C$21:E$973,3,FALSE)</f>
        <v>62498.44592133625</v>
      </c>
      <c r="F34" s="3" t="s">
        <v>69</v>
      </c>
      <c r="G34" s="13" t="str">
        <f t="shared" si="4"/>
        <v>55478.4809</v>
      </c>
      <c r="H34" s="15">
        <f t="shared" si="5"/>
        <v>62501.5</v>
      </c>
      <c r="I34" s="57" t="s">
        <v>178</v>
      </c>
      <c r="J34" s="58" t="s">
        <v>179</v>
      </c>
      <c r="K34" s="57" t="s">
        <v>180</v>
      </c>
      <c r="L34" s="57" t="s">
        <v>181</v>
      </c>
      <c r="M34" s="58" t="s">
        <v>111</v>
      </c>
      <c r="N34" s="58" t="s">
        <v>139</v>
      </c>
      <c r="O34" s="59" t="s">
        <v>96</v>
      </c>
      <c r="P34" s="60" t="s">
        <v>177</v>
      </c>
    </row>
    <row r="35" spans="1:16" ht="12.75" customHeight="1" thickBot="1">
      <c r="A35" s="15" t="str">
        <f t="shared" si="0"/>
        <v>IBVS 6094 </v>
      </c>
      <c r="B35" s="3" t="str">
        <f t="shared" si="1"/>
        <v>I</v>
      </c>
      <c r="C35" s="15">
        <f t="shared" si="2"/>
        <v>56456.411200000002</v>
      </c>
      <c r="D35" s="13" t="str">
        <f t="shared" si="3"/>
        <v>vis</v>
      </c>
      <c r="E35" s="56">
        <f>VLOOKUP(C35,Active!C$21:E$973,3,FALSE)</f>
        <v>65361.975320885263</v>
      </c>
      <c r="F35" s="3" t="s">
        <v>69</v>
      </c>
      <c r="G35" s="13" t="str">
        <f t="shared" si="4"/>
        <v>56456.4112</v>
      </c>
      <c r="H35" s="15">
        <f t="shared" si="5"/>
        <v>65365</v>
      </c>
      <c r="I35" s="57" t="s">
        <v>191</v>
      </c>
      <c r="J35" s="58" t="s">
        <v>192</v>
      </c>
      <c r="K35" s="57" t="s">
        <v>193</v>
      </c>
      <c r="L35" s="57" t="s">
        <v>194</v>
      </c>
      <c r="M35" s="58" t="s">
        <v>111</v>
      </c>
      <c r="N35" s="58" t="s">
        <v>64</v>
      </c>
      <c r="O35" s="59" t="s">
        <v>195</v>
      </c>
      <c r="P35" s="60" t="s">
        <v>196</v>
      </c>
    </row>
    <row r="36" spans="1:16" ht="12.75" customHeight="1" thickBot="1">
      <c r="A36" s="15" t="str">
        <f t="shared" si="0"/>
        <v>BAVM 239 </v>
      </c>
      <c r="B36" s="3" t="str">
        <f t="shared" si="1"/>
        <v>I</v>
      </c>
      <c r="C36" s="15">
        <f t="shared" si="2"/>
        <v>56943.408499999998</v>
      </c>
      <c r="D36" s="13" t="str">
        <f t="shared" si="3"/>
        <v>vis</v>
      </c>
      <c r="E36" s="56">
        <f>VLOOKUP(C36,Active!C$21:E$973,3,FALSE)</f>
        <v>66787.977855064819</v>
      </c>
      <c r="F36" s="3" t="s">
        <v>69</v>
      </c>
      <c r="G36" s="13" t="str">
        <f t="shared" si="4"/>
        <v>56943.4085</v>
      </c>
      <c r="H36" s="15">
        <f t="shared" si="5"/>
        <v>66791</v>
      </c>
      <c r="I36" s="57" t="s">
        <v>197</v>
      </c>
      <c r="J36" s="58" t="s">
        <v>198</v>
      </c>
      <c r="K36" s="57" t="s">
        <v>199</v>
      </c>
      <c r="L36" s="57" t="s">
        <v>200</v>
      </c>
      <c r="M36" s="58" t="s">
        <v>111</v>
      </c>
      <c r="N36" s="58" t="s">
        <v>139</v>
      </c>
      <c r="O36" s="59" t="s">
        <v>96</v>
      </c>
      <c r="P36" s="60" t="s">
        <v>201</v>
      </c>
    </row>
    <row r="37" spans="1:16" ht="12.75" customHeight="1" thickBot="1">
      <c r="A37" s="15" t="str">
        <f t="shared" si="0"/>
        <v>BAVM 179 </v>
      </c>
      <c r="B37" s="3" t="str">
        <f t="shared" si="1"/>
        <v>I</v>
      </c>
      <c r="C37" s="15">
        <f t="shared" si="2"/>
        <v>47791.404999999999</v>
      </c>
      <c r="D37" s="13" t="str">
        <f t="shared" si="3"/>
        <v>vis</v>
      </c>
      <c r="E37" s="56">
        <f>VLOOKUP(C37,Active!C$21:E$973,3,FALSE)</f>
        <v>39989.512681191518</v>
      </c>
      <c r="F37" s="3" t="s">
        <v>69</v>
      </c>
      <c r="G37" s="13" t="str">
        <f t="shared" si="4"/>
        <v>47791.405</v>
      </c>
      <c r="H37" s="15">
        <f t="shared" si="5"/>
        <v>39992</v>
      </c>
      <c r="I37" s="57" t="s">
        <v>71</v>
      </c>
      <c r="J37" s="58" t="s">
        <v>72</v>
      </c>
      <c r="K37" s="57">
        <v>39992</v>
      </c>
      <c r="L37" s="57" t="s">
        <v>73</v>
      </c>
      <c r="M37" s="58" t="s">
        <v>70</v>
      </c>
      <c r="N37" s="58"/>
      <c r="O37" s="59" t="s">
        <v>74</v>
      </c>
      <c r="P37" s="60" t="s">
        <v>75</v>
      </c>
    </row>
    <row r="38" spans="1:16" ht="12.75" customHeight="1" thickBot="1">
      <c r="A38" s="15" t="str">
        <f t="shared" si="0"/>
        <v>BAVM 225 </v>
      </c>
      <c r="B38" s="3" t="str">
        <f t="shared" si="1"/>
        <v>I</v>
      </c>
      <c r="C38" s="15">
        <f t="shared" si="2"/>
        <v>55801.383099999999</v>
      </c>
      <c r="D38" s="13" t="str">
        <f t="shared" si="3"/>
        <v>vis</v>
      </c>
      <c r="E38" s="56">
        <f>VLOOKUP(C38,Active!C$21:E$973,3,FALSE)</f>
        <v>63443.95292002424</v>
      </c>
      <c r="F38" s="3" t="s">
        <v>69</v>
      </c>
      <c r="G38" s="13" t="str">
        <f t="shared" si="4"/>
        <v>55801.3831</v>
      </c>
      <c r="H38" s="15">
        <f t="shared" si="5"/>
        <v>63447</v>
      </c>
      <c r="I38" s="57" t="s">
        <v>182</v>
      </c>
      <c r="J38" s="58" t="s">
        <v>183</v>
      </c>
      <c r="K38" s="57" t="s">
        <v>184</v>
      </c>
      <c r="L38" s="57" t="s">
        <v>185</v>
      </c>
      <c r="M38" s="58" t="s">
        <v>111</v>
      </c>
      <c r="N38" s="58" t="s">
        <v>139</v>
      </c>
      <c r="O38" s="59" t="s">
        <v>96</v>
      </c>
      <c r="P38" s="60" t="s">
        <v>186</v>
      </c>
    </row>
    <row r="39" spans="1:16" ht="12.75" customHeight="1" thickBot="1">
      <c r="A39" s="15" t="str">
        <f t="shared" si="0"/>
        <v>BAVM 225 </v>
      </c>
      <c r="B39" s="3" t="str">
        <f t="shared" si="1"/>
        <v>II</v>
      </c>
      <c r="C39" s="15">
        <f t="shared" si="2"/>
        <v>55801.552600000003</v>
      </c>
      <c r="D39" s="13" t="str">
        <f t="shared" si="3"/>
        <v>vis</v>
      </c>
      <c r="E39" s="56">
        <f>VLOOKUP(C39,Active!C$21:E$973,3,FALSE)</f>
        <v>63444.449241933107</v>
      </c>
      <c r="F39" s="3" t="s">
        <v>69</v>
      </c>
      <c r="G39" s="13" t="str">
        <f t="shared" si="4"/>
        <v>55801.5526</v>
      </c>
      <c r="H39" s="15">
        <f t="shared" si="5"/>
        <v>63447.5</v>
      </c>
      <c r="I39" s="57" t="s">
        <v>187</v>
      </c>
      <c r="J39" s="58" t="s">
        <v>188</v>
      </c>
      <c r="K39" s="57" t="s">
        <v>189</v>
      </c>
      <c r="L39" s="57" t="s">
        <v>190</v>
      </c>
      <c r="M39" s="58" t="s">
        <v>111</v>
      </c>
      <c r="N39" s="58" t="s">
        <v>139</v>
      </c>
      <c r="O39" s="59" t="s">
        <v>96</v>
      </c>
      <c r="P39" s="60" t="s">
        <v>186</v>
      </c>
    </row>
    <row r="40" spans="1:16">
      <c r="B40" s="3"/>
      <c r="F40" s="3"/>
    </row>
    <row r="41" spans="1:16">
      <c r="B41" s="3"/>
      <c r="F41" s="3"/>
    </row>
    <row r="42" spans="1:16">
      <c r="B42" s="3"/>
      <c r="F42" s="3"/>
    </row>
    <row r="43" spans="1:16">
      <c r="B43" s="3"/>
      <c r="F43" s="3"/>
    </row>
    <row r="44" spans="1:16">
      <c r="B44" s="3"/>
      <c r="F44" s="3"/>
    </row>
    <row r="45" spans="1:16">
      <c r="B45" s="3"/>
      <c r="F45" s="3"/>
    </row>
    <row r="46" spans="1:16">
      <c r="B46" s="3"/>
      <c r="F46" s="3"/>
    </row>
    <row r="47" spans="1:16">
      <c r="B47" s="3"/>
      <c r="F47" s="3"/>
    </row>
    <row r="48" spans="1:1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</sheetData>
  <phoneticPr fontId="7" type="noConversion"/>
  <hyperlinks>
    <hyperlink ref="P37" r:id="rId1" display="http://www.bav-astro.de/sfs/BAVM_link.php?BAVMnr=179" xr:uid="{00000000-0004-0000-0100-000000000000}"/>
    <hyperlink ref="P11" r:id="rId2" display="http://www.konkoly.hu/cgi-bin/IBVS?5263" xr:uid="{00000000-0004-0000-0100-000001000000}"/>
    <hyperlink ref="P13" r:id="rId3" display="http://www.konkoly.hu/cgi-bin/IBVS?5287" xr:uid="{00000000-0004-0000-0100-000002000000}"/>
    <hyperlink ref="P14" r:id="rId4" display="http://www.bav-astro.de/sfs/BAVM_link.php?BAVMnr=172" xr:uid="{00000000-0004-0000-0100-000003000000}"/>
    <hyperlink ref="P15" r:id="rId5" display="http://www.bav-astro.de/sfs/BAVM_link.php?BAVMnr=172" xr:uid="{00000000-0004-0000-0100-000004000000}"/>
    <hyperlink ref="P18" r:id="rId6" display="http://var.astro.cz/oejv/issues/oejv0074.pdf" xr:uid="{00000000-0004-0000-0100-000005000000}"/>
    <hyperlink ref="P19" r:id="rId7" display="http://www.bav-astro.de/sfs/BAVM_link.php?BAVMnr=172" xr:uid="{00000000-0004-0000-0100-000006000000}"/>
    <hyperlink ref="P20" r:id="rId8" display="http://var.astro.cz/oejv/issues/oejv0074.pdf" xr:uid="{00000000-0004-0000-0100-000007000000}"/>
    <hyperlink ref="P21" r:id="rId9" display="http://www.bav-astro.de/sfs/BAVM_link.php?BAVMnr=172" xr:uid="{00000000-0004-0000-0100-000008000000}"/>
    <hyperlink ref="P22" r:id="rId10" display="http://var.astro.cz/oejv/issues/oejv0074.pdf" xr:uid="{00000000-0004-0000-0100-000009000000}"/>
    <hyperlink ref="P23" r:id="rId11" display="http://www.konkoly.hu/cgi-bin/IBVS?5690" xr:uid="{00000000-0004-0000-0100-00000A000000}"/>
    <hyperlink ref="P24" r:id="rId12" display="http://www.konkoly.hu/cgi-bin/IBVS?5690" xr:uid="{00000000-0004-0000-0100-00000B000000}"/>
    <hyperlink ref="P25" r:id="rId13" display="http://www.bav-astro.de/sfs/BAVM_link.php?BAVMnr=178" xr:uid="{00000000-0004-0000-0100-00000C000000}"/>
    <hyperlink ref="P26" r:id="rId14" display="http://www.bav-astro.de/sfs/BAVM_link.php?BAVMnr=178" xr:uid="{00000000-0004-0000-0100-00000D000000}"/>
    <hyperlink ref="P27" r:id="rId15" display="http://www.bav-astro.de/sfs/BAVM_link.php?BAVMnr=178" xr:uid="{00000000-0004-0000-0100-00000E000000}"/>
    <hyperlink ref="P28" r:id="rId16" display="http://www.bav-astro.de/sfs/BAVM_link.php?BAVMnr=178" xr:uid="{00000000-0004-0000-0100-00000F000000}"/>
    <hyperlink ref="P29" r:id="rId17" display="http://www.bav-astro.de/sfs/BAVM_link.php?BAVMnr=183" xr:uid="{00000000-0004-0000-0100-000010000000}"/>
    <hyperlink ref="P30" r:id="rId18" display="http://www.bav-astro.de/sfs/BAVM_link.php?BAVMnr=183" xr:uid="{00000000-0004-0000-0100-000011000000}"/>
    <hyperlink ref="P31" r:id="rId19" display="http://www.bav-astro.de/sfs/BAVM_link.php?BAVMnr=183" xr:uid="{00000000-0004-0000-0100-000012000000}"/>
    <hyperlink ref="P32" r:id="rId20" display="http://www.bav-astro.de/sfs/BAVM_link.php?BAVMnr=209" xr:uid="{00000000-0004-0000-0100-000013000000}"/>
    <hyperlink ref="P33" r:id="rId21" display="http://www.bav-astro.de/sfs/BAVM_link.php?BAVMnr=215" xr:uid="{00000000-0004-0000-0100-000014000000}"/>
    <hyperlink ref="P34" r:id="rId22" display="http://www.bav-astro.de/sfs/BAVM_link.php?BAVMnr=215" xr:uid="{00000000-0004-0000-0100-000015000000}"/>
    <hyperlink ref="P38" r:id="rId23" display="http://www.bav-astro.de/sfs/BAVM_link.php?BAVMnr=225" xr:uid="{00000000-0004-0000-0100-000016000000}"/>
    <hyperlink ref="P39" r:id="rId24" display="http://www.bav-astro.de/sfs/BAVM_link.php?BAVMnr=225" xr:uid="{00000000-0004-0000-0100-000017000000}"/>
    <hyperlink ref="P35" r:id="rId25" display="http://www.konkoly.hu/cgi-bin/IBVS?6094" xr:uid="{00000000-0004-0000-0100-000018000000}"/>
    <hyperlink ref="P36" r:id="rId26" display="http://www.bav-astro.de/sfs/BAVM_link.php?BAVMnr=239" xr:uid="{00000000-0004-0000-0100-00001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2023-08-14T07:05:50Z</dcterms:modified>
</cp:coreProperties>
</file>