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10DA04-3671-49C3-BB3C-C87DCC8ED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76" i="1"/>
  <c r="F76" i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Q75" i="1"/>
  <c r="Q74" i="1"/>
  <c r="Q73" i="1"/>
  <c r="C7" i="1"/>
  <c r="C8" i="1"/>
  <c r="E75" i="1" s="1"/>
  <c r="F75" i="1" s="1"/>
  <c r="G75" i="1" s="1"/>
  <c r="K75" i="1" s="1"/>
  <c r="D9" i="1"/>
  <c r="C9" i="1"/>
  <c r="Q6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26" i="2"/>
  <c r="C26" i="2" s="1"/>
  <c r="G25" i="2"/>
  <c r="C25" i="2" s="1"/>
  <c r="G24" i="2"/>
  <c r="C24" i="2" s="1"/>
  <c r="G59" i="2"/>
  <c r="C59" i="2" s="1"/>
  <c r="E59" i="2" s="1"/>
  <c r="G58" i="2"/>
  <c r="C58" i="2"/>
  <c r="E58" i="2" s="1"/>
  <c r="G57" i="2"/>
  <c r="C57" i="2" s="1"/>
  <c r="E57" i="2" s="1"/>
  <c r="G23" i="2"/>
  <c r="C23" i="2" s="1"/>
  <c r="G56" i="2"/>
  <c r="C56" i="2"/>
  <c r="E56" i="2" s="1"/>
  <c r="G55" i="2"/>
  <c r="C55" i="2" s="1"/>
  <c r="E55" i="2" s="1"/>
  <c r="G22" i="2"/>
  <c r="C22" i="2" s="1"/>
  <c r="G54" i="2"/>
  <c r="C54" i="2"/>
  <c r="G21" i="2"/>
  <c r="C21" i="2" s="1"/>
  <c r="G20" i="2"/>
  <c r="C20" i="2" s="1"/>
  <c r="G19" i="2"/>
  <c r="C19" i="2"/>
  <c r="G18" i="2"/>
  <c r="C18" i="2" s="1"/>
  <c r="G17" i="2"/>
  <c r="C17" i="2"/>
  <c r="G16" i="2"/>
  <c r="C16" i="2"/>
  <c r="G15" i="2"/>
  <c r="C15" i="2" s="1"/>
  <c r="G14" i="2"/>
  <c r="C14" i="2"/>
  <c r="G13" i="2"/>
  <c r="C13" i="2" s="1"/>
  <c r="G12" i="2"/>
  <c r="C12" i="2" s="1"/>
  <c r="G53" i="2"/>
  <c r="C53" i="2" s="1"/>
  <c r="G11" i="2"/>
  <c r="C11" i="2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G46" i="2"/>
  <c r="C46" i="2"/>
  <c r="G45" i="2"/>
  <c r="C45" i="2"/>
  <c r="G44" i="2"/>
  <c r="C44" i="2" s="1"/>
  <c r="G43" i="2"/>
  <c r="C43" i="2"/>
  <c r="G42" i="2"/>
  <c r="C42" i="2"/>
  <c r="G41" i="2"/>
  <c r="C41" i="2" s="1"/>
  <c r="G40" i="2"/>
  <c r="C40" i="2"/>
  <c r="G39" i="2"/>
  <c r="C39" i="2"/>
  <c r="G38" i="2"/>
  <c r="C38" i="2" s="1"/>
  <c r="G37" i="2"/>
  <c r="C37" i="2"/>
  <c r="G36" i="2"/>
  <c r="C36" i="2" s="1"/>
  <c r="G35" i="2"/>
  <c r="C35" i="2"/>
  <c r="G34" i="2"/>
  <c r="C34" i="2" s="1"/>
  <c r="G33" i="2"/>
  <c r="C33" i="2"/>
  <c r="G32" i="2"/>
  <c r="C32" i="2"/>
  <c r="G31" i="2"/>
  <c r="C31" i="2" s="1"/>
  <c r="G30" i="2"/>
  <c r="C30" i="2"/>
  <c r="G29" i="2"/>
  <c r="C29" i="2"/>
  <c r="G28" i="2"/>
  <c r="C28" i="2" s="1"/>
  <c r="G27" i="2"/>
  <c r="C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23" i="2"/>
  <c r="B23" i="2" s="1"/>
  <c r="D23" i="2"/>
  <c r="A23" i="2"/>
  <c r="H56" i="2"/>
  <c r="B56" i="2" s="1"/>
  <c r="D56" i="2"/>
  <c r="A56" i="2"/>
  <c r="H55" i="2"/>
  <c r="B55" i="2" s="1"/>
  <c r="D55" i="2"/>
  <c r="A55" i="2"/>
  <c r="H22" i="2"/>
  <c r="B22" i="2" s="1"/>
  <c r="D22" i="2"/>
  <c r="A22" i="2"/>
  <c r="H54" i="2"/>
  <c r="B54" i="2" s="1"/>
  <c r="D54" i="2"/>
  <c r="A54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53" i="2"/>
  <c r="B53" i="2" s="1"/>
  <c r="D53" i="2"/>
  <c r="A53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Q71" i="1"/>
  <c r="Q72" i="1"/>
  <c r="Q68" i="1"/>
  <c r="Q69" i="1"/>
  <c r="Q70" i="1"/>
  <c r="Q64" i="1"/>
  <c r="Q65" i="1"/>
  <c r="Q66" i="1"/>
  <c r="Q67" i="1"/>
  <c r="F16" i="1"/>
  <c r="C17" i="1"/>
  <c r="Q61" i="1"/>
  <c r="Q54" i="1"/>
  <c r="Q55" i="1"/>
  <c r="Q57" i="1"/>
  <c r="Q62" i="1"/>
  <c r="Q63" i="1"/>
  <c r="Q58" i="1"/>
  <c r="Q59" i="1"/>
  <c r="Q56" i="1"/>
  <c r="Q53" i="1"/>
  <c r="Q48" i="1"/>
  <c r="Q50" i="1"/>
  <c r="Q51" i="1"/>
  <c r="Q52" i="1"/>
  <c r="Q23" i="1"/>
  <c r="E22" i="1" l="1"/>
  <c r="F22" i="1" s="1"/>
  <c r="E74" i="1"/>
  <c r="F74" i="1" s="1"/>
  <c r="E29" i="1"/>
  <c r="F29" i="1" s="1"/>
  <c r="E71" i="1"/>
  <c r="F71" i="1" s="1"/>
  <c r="E28" i="2"/>
  <c r="F17" i="1"/>
  <c r="E34" i="2"/>
  <c r="E54" i="2"/>
  <c r="E69" i="1"/>
  <c r="F69" i="1" s="1"/>
  <c r="G69" i="1" s="1"/>
  <c r="K69" i="1" s="1"/>
  <c r="E64" i="1"/>
  <c r="F64" i="1" s="1"/>
  <c r="G64" i="1" s="1"/>
  <c r="J64" i="1" s="1"/>
  <c r="E48" i="1"/>
  <c r="E63" i="1"/>
  <c r="F63" i="1" s="1"/>
  <c r="E67" i="1"/>
  <c r="F67" i="1" s="1"/>
  <c r="G67" i="1" s="1"/>
  <c r="K67" i="1" s="1"/>
  <c r="E55" i="1"/>
  <c r="E53" i="1"/>
  <c r="F53" i="1" s="1"/>
  <c r="G53" i="1" s="1"/>
  <c r="K53" i="1" s="1"/>
  <c r="E60" i="1"/>
  <c r="F60" i="1" s="1"/>
  <c r="E73" i="1"/>
  <c r="F73" i="1" s="1"/>
  <c r="G73" i="1" s="1"/>
  <c r="K73" i="1" s="1"/>
  <c r="E28" i="1"/>
  <c r="F28" i="1" s="1"/>
  <c r="G28" i="1" s="1"/>
  <c r="I28" i="1" s="1"/>
  <c r="E34" i="1"/>
  <c r="E37" i="1"/>
  <c r="E24" i="1"/>
  <c r="E66" i="1"/>
  <c r="F66" i="1" s="1"/>
  <c r="G66" i="1" s="1"/>
  <c r="K66" i="1" s="1"/>
  <c r="G46" i="1"/>
  <c r="I46" i="1" s="1"/>
  <c r="E35" i="1"/>
  <c r="E30" i="1"/>
  <c r="F30" i="1" s="1"/>
  <c r="G30" i="1" s="1"/>
  <c r="I30" i="1" s="1"/>
  <c r="E21" i="1"/>
  <c r="G61" i="1"/>
  <c r="J61" i="1" s="1"/>
  <c r="E68" i="1"/>
  <c r="F68" i="1" s="1"/>
  <c r="G68" i="1" s="1"/>
  <c r="K68" i="1" s="1"/>
  <c r="E39" i="1"/>
  <c r="F39" i="1" s="1"/>
  <c r="G39" i="1" s="1"/>
  <c r="I39" i="1" s="1"/>
  <c r="E52" i="1"/>
  <c r="E45" i="1"/>
  <c r="E54" i="1"/>
  <c r="E32" i="1"/>
  <c r="E41" i="1"/>
  <c r="F41" i="1" s="1"/>
  <c r="G41" i="1" s="1"/>
  <c r="I41" i="1" s="1"/>
  <c r="G60" i="1"/>
  <c r="J60" i="1" s="1"/>
  <c r="E70" i="1"/>
  <c r="F70" i="1" s="1"/>
  <c r="G70" i="1" s="1"/>
  <c r="K70" i="1" s="1"/>
  <c r="E40" i="1"/>
  <c r="E58" i="1"/>
  <c r="F58" i="1" s="1"/>
  <c r="G58" i="1" s="1"/>
  <c r="J58" i="1" s="1"/>
  <c r="E72" i="1"/>
  <c r="F72" i="1" s="1"/>
  <c r="G72" i="1" s="1"/>
  <c r="K72" i="1" s="1"/>
  <c r="E23" i="1"/>
  <c r="F23" i="1" s="1"/>
  <c r="E65" i="1"/>
  <c r="F65" i="1" s="1"/>
  <c r="G65" i="1" s="1"/>
  <c r="K65" i="1" s="1"/>
  <c r="E59" i="1"/>
  <c r="F59" i="1" s="1"/>
  <c r="G59" i="1" s="1"/>
  <c r="J59" i="1" s="1"/>
  <c r="E51" i="1"/>
  <c r="F51" i="1" s="1"/>
  <c r="G51" i="1" s="1"/>
  <c r="I51" i="1" s="1"/>
  <c r="E46" i="1"/>
  <c r="F46" i="1" s="1"/>
  <c r="G29" i="1"/>
  <c r="I29" i="1" s="1"/>
  <c r="G57" i="1"/>
  <c r="K57" i="1" s="1"/>
  <c r="G50" i="1"/>
  <c r="I50" i="1" s="1"/>
  <c r="E62" i="1"/>
  <c r="F62" i="1" s="1"/>
  <c r="E27" i="1"/>
  <c r="E36" i="1"/>
  <c r="F36" i="1" s="1"/>
  <c r="G36" i="1" s="1"/>
  <c r="I36" i="1" s="1"/>
  <c r="G74" i="1"/>
  <c r="K74" i="1" s="1"/>
  <c r="G56" i="1"/>
  <c r="J56" i="1" s="1"/>
  <c r="E44" i="1"/>
  <c r="F44" i="1" s="1"/>
  <c r="G44" i="1" s="1"/>
  <c r="I44" i="1" s="1"/>
  <c r="E26" i="1"/>
  <c r="F26" i="1" s="1"/>
  <c r="G26" i="1" s="1"/>
  <c r="I26" i="1" s="1"/>
  <c r="E42" i="1"/>
  <c r="F42" i="1" s="1"/>
  <c r="G42" i="1" s="1"/>
  <c r="I42" i="1" s="1"/>
  <c r="G62" i="1"/>
  <c r="K62" i="1" s="1"/>
  <c r="G63" i="1"/>
  <c r="K63" i="1" s="1"/>
  <c r="E33" i="1"/>
  <c r="F33" i="1" s="1"/>
  <c r="G33" i="1" s="1"/>
  <c r="I33" i="1" s="1"/>
  <c r="E61" i="1"/>
  <c r="F61" i="1" s="1"/>
  <c r="G22" i="1"/>
  <c r="I22" i="1" s="1"/>
  <c r="E31" i="1"/>
  <c r="F31" i="1" s="1"/>
  <c r="G31" i="1" s="1"/>
  <c r="I31" i="1" s="1"/>
  <c r="E47" i="1"/>
  <c r="E57" i="1"/>
  <c r="F57" i="1" s="1"/>
  <c r="E56" i="1"/>
  <c r="F56" i="1" s="1"/>
  <c r="E50" i="1"/>
  <c r="F50" i="1" s="1"/>
  <c r="G71" i="1"/>
  <c r="K71" i="1" s="1"/>
  <c r="E49" i="1"/>
  <c r="F49" i="1" s="1"/>
  <c r="G49" i="1" s="1"/>
  <c r="E43" i="1"/>
  <c r="F43" i="1" s="1"/>
  <c r="G43" i="1" s="1"/>
  <c r="I43" i="1" s="1"/>
  <c r="E38" i="1"/>
  <c r="E25" i="1"/>
  <c r="E48" i="2" l="1"/>
  <c r="E38" i="2"/>
  <c r="E47" i="2"/>
  <c r="E19" i="2"/>
  <c r="I49" i="1"/>
  <c r="E37" i="2"/>
  <c r="F32" i="1"/>
  <c r="G32" i="1" s="1"/>
  <c r="I32" i="1" s="1"/>
  <c r="E27" i="2"/>
  <c r="F21" i="1"/>
  <c r="G21" i="1" s="1"/>
  <c r="I21" i="1" s="1"/>
  <c r="E33" i="2"/>
  <c r="E51" i="2"/>
  <c r="E22" i="2"/>
  <c r="E11" i="2"/>
  <c r="F48" i="1"/>
  <c r="G48" i="1" s="1"/>
  <c r="I48" i="1" s="1"/>
  <c r="F27" i="1"/>
  <c r="G27" i="1" s="1"/>
  <c r="I27" i="1" s="1"/>
  <c r="E32" i="2"/>
  <c r="E16" i="2"/>
  <c r="F54" i="1"/>
  <c r="G54" i="1" s="1"/>
  <c r="K54" i="1" s="1"/>
  <c r="E29" i="2"/>
  <c r="F24" i="1"/>
  <c r="G24" i="1" s="1"/>
  <c r="I24" i="1" s="1"/>
  <c r="E23" i="2"/>
  <c r="E46" i="2"/>
  <c r="E12" i="2"/>
  <c r="E13" i="2"/>
  <c r="F45" i="1"/>
  <c r="G45" i="1" s="1"/>
  <c r="I45" i="1" s="1"/>
  <c r="E50" i="2"/>
  <c r="F35" i="1"/>
  <c r="G35" i="1" s="1"/>
  <c r="I35" i="1" s="1"/>
  <c r="E40" i="2"/>
  <c r="F37" i="1"/>
  <c r="G37" i="1" s="1"/>
  <c r="I37" i="1" s="1"/>
  <c r="E42" i="2"/>
  <c r="E20" i="2"/>
  <c r="E41" i="2"/>
  <c r="E35" i="2"/>
  <c r="F25" i="1"/>
  <c r="G25" i="1" s="1"/>
  <c r="I25" i="1" s="1"/>
  <c r="E30" i="2"/>
  <c r="F47" i="1"/>
  <c r="G47" i="1" s="1"/>
  <c r="I47" i="1" s="1"/>
  <c r="E52" i="2"/>
  <c r="E14" i="2"/>
  <c r="F52" i="1"/>
  <c r="G52" i="1" s="1"/>
  <c r="E15" i="2"/>
  <c r="E36" i="2"/>
  <c r="E53" i="2"/>
  <c r="F38" i="1"/>
  <c r="G38" i="1" s="1"/>
  <c r="I38" i="1" s="1"/>
  <c r="E43" i="2"/>
  <c r="E39" i="2"/>
  <c r="F34" i="1"/>
  <c r="G34" i="1" s="1"/>
  <c r="I34" i="1" s="1"/>
  <c r="F55" i="1"/>
  <c r="G55" i="1" s="1"/>
  <c r="K55" i="1" s="1"/>
  <c r="E17" i="2"/>
  <c r="E31" i="2"/>
  <c r="E49" i="2"/>
  <c r="E45" i="2"/>
  <c r="F40" i="1"/>
  <c r="G40" i="1" s="1"/>
  <c r="I40" i="1" s="1"/>
  <c r="E21" i="2"/>
  <c r="E26" i="2"/>
  <c r="E24" i="2"/>
  <c r="E44" i="2"/>
  <c r="E25" i="2"/>
  <c r="E18" i="2"/>
  <c r="C12" i="1"/>
  <c r="C11" i="1"/>
  <c r="O79" i="1" l="1"/>
  <c r="O78" i="1"/>
  <c r="O77" i="1"/>
  <c r="O76" i="1"/>
  <c r="O75" i="1"/>
  <c r="O51" i="1"/>
  <c r="O60" i="1"/>
  <c r="O47" i="1"/>
  <c r="O48" i="1"/>
  <c r="O53" i="1"/>
  <c r="O70" i="1"/>
  <c r="O74" i="1"/>
  <c r="O69" i="1"/>
  <c r="O56" i="1"/>
  <c r="O54" i="1"/>
  <c r="O61" i="1"/>
  <c r="O65" i="1"/>
  <c r="O57" i="1"/>
  <c r="O50" i="1"/>
  <c r="O49" i="1"/>
  <c r="O68" i="1"/>
  <c r="O52" i="1"/>
  <c r="O67" i="1"/>
  <c r="O62" i="1"/>
  <c r="O72" i="1"/>
  <c r="O59" i="1"/>
  <c r="O63" i="1"/>
  <c r="O55" i="1"/>
  <c r="O64" i="1"/>
  <c r="O66" i="1"/>
  <c r="O73" i="1"/>
  <c r="O58" i="1"/>
  <c r="O71" i="1"/>
  <c r="C15" i="1"/>
  <c r="C16" i="1"/>
  <c r="D18" i="1" s="1"/>
  <c r="I52" i="1"/>
  <c r="C18" i="1" l="1"/>
  <c r="F18" i="1"/>
  <c r="F19" i="1" s="1"/>
</calcChain>
</file>

<file path=xl/sharedStrings.xml><?xml version="1.0" encoding="utf-8"?>
<sst xmlns="http://schemas.openxmlformats.org/spreadsheetml/2006/main" count="577" uniqueCount="272">
  <si>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</si>
  <si>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</si>
  <si>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</si>
  <si>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</si>
  <si>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</si>
  <si>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</si>
  <si>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</si>
  <si>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</si>
  <si>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</si>
  <si>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</si>
  <si>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</si>
  <si>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</si>
  <si>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</si>
  <si>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</si>
  <si>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</si>
  <si>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</si>
  <si>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</si>
  <si>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</si>
  <si>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</si>
  <si>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</si>
  <si>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</si>
  <si>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</si>
  <si>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</si>
  <si>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</si>
  <si>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</si>
  <si>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</si>
  <si>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</si>
  <si>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</si>
  <si>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</si>
  <si>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Bull.95</t>
  </si>
  <si>
    <t>B</t>
  </si>
  <si>
    <t>BBSAG Bull.115</t>
  </si>
  <si>
    <t>IBVS 4888</t>
  </si>
  <si>
    <t>EA/SD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</si>
  <si>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</si>
  <si>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</si>
  <si>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</si>
  <si>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</si>
  <si>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</si>
  <si>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</si>
  <si>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</si>
  <si>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</si>
  <si>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</si>
  <si>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</si>
  <si>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5874</t>
  </si>
  <si>
    <t>OEJV 0074</t>
  </si>
  <si>
    <t>CCD+V</t>
  </si>
  <si>
    <t>CCD</t>
  </si>
  <si>
    <t>OEJV 0094</t>
  </si>
  <si>
    <t>Add cycle</t>
  </si>
  <si>
    <t>Old Cycle</t>
  </si>
  <si>
    <t>OEJV 0137</t>
  </si>
  <si>
    <t>IBVS 5959</t>
  </si>
  <si>
    <t>OEJV 0160</t>
  </si>
  <si>
    <t>V0995 Cyg / GSC 3557-0443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</si>
  <si>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</si>
  <si>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</si>
  <si>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</si>
  <si>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</si>
  <si>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</si>
  <si>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</si>
  <si>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</si>
  <si>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</si>
  <si>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</si>
  <si>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</si>
  <si>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</si>
  <si>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</si>
  <si>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2425591.215 </t>
  </si>
  <si>
    <t> 10.12.1928 17:09 </t>
  </si>
  <si>
    <t> 0.008 </t>
  </si>
  <si>
    <t>P </t>
  </si>
  <si>
    <t> H.Schneller </t>
  </si>
  <si>
    <t> AN 235.86 </t>
  </si>
  <si>
    <t>2426352.231 </t>
  </si>
  <si>
    <t> 10.01.1931 17:32 </t>
  </si>
  <si>
    <t> -0.019 </t>
  </si>
  <si>
    <t> W.Strohmeier </t>
  </si>
  <si>
    <t>IBVS 32 </t>
  </si>
  <si>
    <t>2426928.365 </t>
  </si>
  <si>
    <t> 08.08.1932 20:45 </t>
  </si>
  <si>
    <t> -0.002 </t>
  </si>
  <si>
    <t>2426928.380 </t>
  </si>
  <si>
    <t> 08.08.1932 21:07 </t>
  </si>
  <si>
    <t> 0.013 </t>
  </si>
  <si>
    <t>2426942.408 </t>
  </si>
  <si>
    <t> 22.08.1932 21:47 </t>
  </si>
  <si>
    <t> -0.184 </t>
  </si>
  <si>
    <t>2426985.269 </t>
  </si>
  <si>
    <t> 04.10.1932 18:27 </t>
  </si>
  <si>
    <t> 0.002 </t>
  </si>
  <si>
    <t>2426985.290 </t>
  </si>
  <si>
    <t> 04.10.1932 18:57 </t>
  </si>
  <si>
    <t> 0.023 </t>
  </si>
  <si>
    <t>2427625.407 </t>
  </si>
  <si>
    <t> 06.07.1934 21:46 </t>
  </si>
  <si>
    <t> 0.011 </t>
  </si>
  <si>
    <t>2436761.460 </t>
  </si>
  <si>
    <t> 11.07.1959 23:02 </t>
  </si>
  <si>
    <t> -0.007 </t>
  </si>
  <si>
    <t> R.Weber </t>
  </si>
  <si>
    <t> JO 46.107 </t>
  </si>
  <si>
    <t>2436786.427 </t>
  </si>
  <si>
    <t> 05.08.1959 22:14 </t>
  </si>
  <si>
    <t> 0.066 </t>
  </si>
  <si>
    <t>2436811.389 </t>
  </si>
  <si>
    <t> 30.08.1959 21:20 </t>
  </si>
  <si>
    <t> 0.134 </t>
  </si>
  <si>
    <t>2436818.333 </t>
  </si>
  <si>
    <t> 06.09.1959 19:59 </t>
  </si>
  <si>
    <t> -0.034 </t>
  </si>
  <si>
    <t>2436818.410 </t>
  </si>
  <si>
    <t> 06.09.1959 21:50 </t>
  </si>
  <si>
    <t> 0.043 </t>
  </si>
  <si>
    <t> K.Häussler </t>
  </si>
  <si>
    <t> HABZ 38 </t>
  </si>
  <si>
    <t>2436843.288 </t>
  </si>
  <si>
    <t> 01.10.1959 18:54 </t>
  </si>
  <si>
    <t> 0.027 </t>
  </si>
  <si>
    <t>2437188.322 </t>
  </si>
  <si>
    <t> 10.09.1960 19:43 </t>
  </si>
  <si>
    <t> 0.102 </t>
  </si>
  <si>
    <t>2437188.368 </t>
  </si>
  <si>
    <t> 10.09.1960 20:49 </t>
  </si>
  <si>
    <t> 0.148 </t>
  </si>
  <si>
    <t>2437202.444 </t>
  </si>
  <si>
    <t> 24.09.1960 22:39 </t>
  </si>
  <si>
    <t> -0.001 </t>
  </si>
  <si>
    <t>2437579.294 </t>
  </si>
  <si>
    <t> 06.10.1961 19:03 </t>
  </si>
  <si>
    <t> -0.116 </t>
  </si>
  <si>
    <t>2437579.387 </t>
  </si>
  <si>
    <t> 06.10.1961 21:17 </t>
  </si>
  <si>
    <t> -0.023 </t>
  </si>
  <si>
    <t>2437956.333 </t>
  </si>
  <si>
    <t> 18.10.1962 19:59 </t>
  </si>
  <si>
    <t> -0.042 </t>
  </si>
  <si>
    <t>2438557.438 </t>
  </si>
  <si>
    <t> 10.06.1964 22:30 </t>
  </si>
  <si>
    <t> 0.052 </t>
  </si>
  <si>
    <t>2439055.261 </t>
  </si>
  <si>
    <t> 21.10.1965 18:15 </t>
  </si>
  <si>
    <t>2445200.471 </t>
  </si>
  <si>
    <t> 18.08.1982 23:18 </t>
  </si>
  <si>
    <t> -0.037 </t>
  </si>
  <si>
    <t>V </t>
  </si>
  <si>
    <t> J.Pleinerova </t>
  </si>
  <si>
    <t> BRNO 26 </t>
  </si>
  <si>
    <t>2445200.475 </t>
  </si>
  <si>
    <t> 18.08.1982 23:24 </t>
  </si>
  <si>
    <t> -0.033 </t>
  </si>
  <si>
    <t> A.Slatinsky </t>
  </si>
  <si>
    <t>2445200.477 </t>
  </si>
  <si>
    <t> 18.08.1982 23:26 </t>
  </si>
  <si>
    <t> -0.031 </t>
  </si>
  <si>
    <t> M.Znojilova </t>
  </si>
  <si>
    <t>2445200.479 </t>
  </si>
  <si>
    <t> 18.08.1982 23:29 </t>
  </si>
  <si>
    <t> -0.029 </t>
  </si>
  <si>
    <t> V.Wagner </t>
  </si>
  <si>
    <t>2448013.529 </t>
  </si>
  <si>
    <t> 02.05.1990 00:41 </t>
  </si>
  <si>
    <t> J.Vandenbroere </t>
  </si>
  <si>
    <t> BBS 95 </t>
  </si>
  <si>
    <t>2449930.5031 </t>
  </si>
  <si>
    <t> 01.08.1995 00:04 </t>
  </si>
  <si>
    <t> 0.1498 </t>
  </si>
  <si>
    <t> M.Zejda </t>
  </si>
  <si>
    <t> BRNO 32 </t>
  </si>
  <si>
    <t>2450282.587 </t>
  </si>
  <si>
    <t> 18.07.1996 02:05 </t>
  </si>
  <si>
    <t> 0.163 </t>
  </si>
  <si>
    <t> BBS 115 </t>
  </si>
  <si>
    <t>2450300.411 </t>
  </si>
  <si>
    <t> 04.08.1996 21:51 </t>
  </si>
  <si>
    <t> 0.205 </t>
  </si>
  <si>
    <t>2450364.378 </t>
  </si>
  <si>
    <t> 07.10.1996 21:04 </t>
  </si>
  <si>
    <t> 0.159 </t>
  </si>
  <si>
    <t>2451036.5781 </t>
  </si>
  <si>
    <t> 11.08.1998 01:52 </t>
  </si>
  <si>
    <t> 0.2233 </t>
  </si>
  <si>
    <t>E </t>
  </si>
  <si>
    <t>?</t>
  </si>
  <si>
    <t> J.Safar </t>
  </si>
  <si>
    <t>IBVS 4888 </t>
  </si>
  <si>
    <t>2451751.43220 </t>
  </si>
  <si>
    <t> 25.07.2000 22:22 </t>
  </si>
  <si>
    <t> 0.26615 </t>
  </si>
  <si>
    <t>C </t>
  </si>
  <si>
    <t> P.Hájek </t>
  </si>
  <si>
    <t>OEJV 0074 </t>
  </si>
  <si>
    <t>2452448.50170 </t>
  </si>
  <si>
    <t> 23.06.2002 00:02 </t>
  </si>
  <si>
    <t> 0.30575 </t>
  </si>
  <si>
    <t>o</t>
  </si>
  <si>
    <t> Motl et al. </t>
  </si>
  <si>
    <t>2453145.5717 </t>
  </si>
  <si>
    <t> 20.05.2004 01:43 </t>
  </si>
  <si>
    <t> 0.3458 </t>
  </si>
  <si>
    <t> Moschner &amp; Frank </t>
  </si>
  <si>
    <t>BAVM 173 </t>
  </si>
  <si>
    <t>2453636.36994 </t>
  </si>
  <si>
    <t> 22.09.2005 20:52 </t>
  </si>
  <si>
    <t> 0.37814 </t>
  </si>
  <si>
    <t>R</t>
  </si>
  <si>
    <t> L.Brát </t>
  </si>
  <si>
    <t>2453867.5471 </t>
  </si>
  <si>
    <t> 12.05.2006 01:07 </t>
  </si>
  <si>
    <t> 0.3974 </t>
  </si>
  <si>
    <t> W.Moschner </t>
  </si>
  <si>
    <t>BAVM 183 </t>
  </si>
  <si>
    <t>2454020.4801 </t>
  </si>
  <si>
    <t> 11.10.2006 23:31 </t>
  </si>
  <si>
    <t> 0.4106 </t>
  </si>
  <si>
    <t>-I</t>
  </si>
  <si>
    <t> F.Agerer </t>
  </si>
  <si>
    <t>2454365.4626 </t>
  </si>
  <si>
    <t> 21.09.2007 23:06 </t>
  </si>
  <si>
    <t>7877</t>
  </si>
  <si>
    <t> 0.4344 </t>
  </si>
  <si>
    <t> U.Schmidt </t>
  </si>
  <si>
    <t>BAVM 193 </t>
  </si>
  <si>
    <t>2454390.3598 </t>
  </si>
  <si>
    <t> 16.10.2007 20:38 </t>
  </si>
  <si>
    <t>7884</t>
  </si>
  <si>
    <t> 0.4377 </t>
  </si>
  <si>
    <t> M.&amp; C.Rätz </t>
  </si>
  <si>
    <t>BAVM 201 </t>
  </si>
  <si>
    <t>2454678.4383 </t>
  </si>
  <si>
    <t> 30.07.2008 22:31 </t>
  </si>
  <si>
    <t>7965</t>
  </si>
  <si>
    <t> 0.4579 </t>
  </si>
  <si>
    <t> S.Poddaný </t>
  </si>
  <si>
    <t>OEJV 0094 </t>
  </si>
  <si>
    <t>2454678.4395 </t>
  </si>
  <si>
    <t> 30.07.2008 22:32 </t>
  </si>
  <si>
    <t> 0.4591 </t>
  </si>
  <si>
    <t>2455062.5472 </t>
  </si>
  <si>
    <t> 19.08.2009 01:07 </t>
  </si>
  <si>
    <t>8073</t>
  </si>
  <si>
    <t> 0.4891 </t>
  </si>
  <si>
    <t> M.Rätz &amp; K.Rätz </t>
  </si>
  <si>
    <t>BAVM 214 </t>
  </si>
  <si>
    <t>2455169.2418 </t>
  </si>
  <si>
    <t> 03.12.2009 17:48 </t>
  </si>
  <si>
    <t>8103</t>
  </si>
  <si>
    <t> 0.4955 </t>
  </si>
  <si>
    <t> L.Šmelcer </t>
  </si>
  <si>
    <t>OEJV 0137 </t>
  </si>
  <si>
    <t>2455464.4324 </t>
  </si>
  <si>
    <t> 24.09.2010 22:22 </t>
  </si>
  <si>
    <t>8186</t>
  </si>
  <si>
    <t> 0.5152 </t>
  </si>
  <si>
    <t>2455464.4332 </t>
  </si>
  <si>
    <t> 24.09.2010 22:23 </t>
  </si>
  <si>
    <t> 0.5160 </t>
  </si>
  <si>
    <t>2456193.51681 </t>
  </si>
  <si>
    <t> 23.09.2012 00:24 </t>
  </si>
  <si>
    <t>8391</t>
  </si>
  <si>
    <t> 0.56328 </t>
  </si>
  <si>
    <t>OEJV 0160 </t>
  </si>
  <si>
    <t>2456193.51701 </t>
  </si>
  <si>
    <t> 0.56348 </t>
  </si>
  <si>
    <t>2456193.51721 </t>
  </si>
  <si>
    <t> 0.56368 </t>
  </si>
  <si>
    <t>BAD?</t>
  </si>
  <si>
    <t>IBVS 0032</t>
  </si>
  <si>
    <t>OEJV 0179</t>
  </si>
  <si>
    <t>JAVSO 49, 108</t>
  </si>
  <si>
    <t>JBAV, 60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</si>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</sst>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V995 Cyg - O-C Diagr.</a:t>
            </a:r>
          </a:p>
        </c:rich>
      </c:tx>
      <c:layout>
        <c:manualLayout>
          <c:xMode val="edge"/>
          <c:yMode val="edge"/>
          <c:x val="0.356047700170357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862010221465"/>
          <c:y val="0.14769252958613219"/>
          <c:w val="0.8160136286201021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7-48F2-A142-EC32E7939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7-48F2-A142-EC32E7939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7-48F2-A142-EC32E7939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  <c:pt idx="55">
                  <c:v>0.68527500000345754</c:v>
                </c:pt>
                <c:pt idx="56">
                  <c:v>0.69120000000111759</c:v>
                </c:pt>
                <c:pt idx="57">
                  <c:v>0.69095000000379514</c:v>
                </c:pt>
                <c:pt idx="58">
                  <c:v>0.69627500000206055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7-48F2-A142-EC32E7939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7-48F2-A142-EC32E7939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7-48F2-A142-EC32E7939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7-48F2-A142-EC32E7939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-9.7476228213548399E-2</c:v>
                </c:pt>
                <c:pt idx="27">
                  <c:v>6.3871843761647895E-2</c:v>
                </c:pt>
                <c:pt idx="28">
                  <c:v>0.17381699015182561</c:v>
                </c:pt>
                <c:pt idx="29">
                  <c:v>0.19401099663165433</c:v>
                </c:pt>
                <c:pt idx="30">
                  <c:v>0.1950308959488174</c:v>
                </c:pt>
                <c:pt idx="31">
                  <c:v>0.19870253349060429</c:v>
                </c:pt>
                <c:pt idx="32">
                  <c:v>0.23725472767936795</c:v>
                </c:pt>
                <c:pt idx="33">
                  <c:v>0.27825468022932309</c:v>
                </c:pt>
                <c:pt idx="34">
                  <c:v>0.31823473346211495</c:v>
                </c:pt>
                <c:pt idx="35">
                  <c:v>0.35821478669490703</c:v>
                </c:pt>
                <c:pt idx="36">
                  <c:v>0.38636400784860747</c:v>
                </c:pt>
                <c:pt idx="37">
                  <c:v>0.39962269897172731</c:v>
                </c:pt>
                <c:pt idx="38">
                  <c:v>0.40839383309932953</c:v>
                </c:pt>
                <c:pt idx="39">
                  <c:v>0.42817987985229289</c:v>
                </c:pt>
                <c:pt idx="40">
                  <c:v>0.42960773889632131</c:v>
                </c:pt>
                <c:pt idx="41">
                  <c:v>0.44613010783436269</c:v>
                </c:pt>
                <c:pt idx="42">
                  <c:v>0.44613010783436269</c:v>
                </c:pt>
                <c:pt idx="43">
                  <c:v>0.46815993308508497</c:v>
                </c:pt>
                <c:pt idx="44">
                  <c:v>0.47427932898806335</c:v>
                </c:pt>
                <c:pt idx="45">
                  <c:v>0.49120965765297009</c:v>
                </c:pt>
                <c:pt idx="46">
                  <c:v>0.49120965765297009</c:v>
                </c:pt>
                <c:pt idx="47">
                  <c:v>0.53302552965665551</c:v>
                </c:pt>
                <c:pt idx="48">
                  <c:v>0.53302552965665551</c:v>
                </c:pt>
                <c:pt idx="49">
                  <c:v>0.53302552965665551</c:v>
                </c:pt>
                <c:pt idx="50">
                  <c:v>0.55566729449767549</c:v>
                </c:pt>
                <c:pt idx="51">
                  <c:v>0.55566729449767549</c:v>
                </c:pt>
                <c:pt idx="52">
                  <c:v>0.57728916002153241</c:v>
                </c:pt>
                <c:pt idx="53">
                  <c:v>0.69294574258782338</c:v>
                </c:pt>
                <c:pt idx="54">
                  <c:v>0.69539350094901464</c:v>
                </c:pt>
                <c:pt idx="55">
                  <c:v>0.72068700401465868</c:v>
                </c:pt>
                <c:pt idx="56">
                  <c:v>0.74047305076762204</c:v>
                </c:pt>
                <c:pt idx="57">
                  <c:v>0.74088101049448718</c:v>
                </c:pt>
                <c:pt idx="58">
                  <c:v>0.76066705724745054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7-48F2-A142-EC32E7939C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A7-48F2-A142-EC32E793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81288"/>
        <c:axId val="1"/>
      </c:scatterChart>
      <c:valAx>
        <c:axId val="711081288"/>
        <c:scaling>
          <c:orientation val="minMax"/>
          <c:max val="12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8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076660988075"/>
          <c:y val="0.92000129214617399"/>
          <c:w val="0.819420783645655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V995 Cyg - O-C Diagr.</a:t>
            </a:r>
          </a:p>
        </c:rich>
      </c:tx>
      <c:layout>
        <c:manualLayout>
          <c:xMode val="edge"/>
          <c:yMode val="edge"/>
          <c:x val="0.3554427125180780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64773106621"/>
          <c:y val="0.14723926380368099"/>
          <c:w val="0.8112258370964822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6-4320-AD9C-12DD339358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6-4320-AD9C-12DD339358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36-4320-AD9C-12DD339358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  <c:pt idx="55">
                  <c:v>0.68527500000345754</c:v>
                </c:pt>
                <c:pt idx="56">
                  <c:v>0.69120000000111759</c:v>
                </c:pt>
                <c:pt idx="57">
                  <c:v>0.69095000000379514</c:v>
                </c:pt>
                <c:pt idx="58">
                  <c:v>0.69627500000206055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36-4320-AD9C-12DD339358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36-4320-AD9C-12DD339358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36-4320-AD9C-12DD339358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36-4320-AD9C-12DD339358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-9.7476228213548399E-2</c:v>
                </c:pt>
                <c:pt idx="27">
                  <c:v>6.3871843761647895E-2</c:v>
                </c:pt>
                <c:pt idx="28">
                  <c:v>0.17381699015182561</c:v>
                </c:pt>
                <c:pt idx="29">
                  <c:v>0.19401099663165433</c:v>
                </c:pt>
                <c:pt idx="30">
                  <c:v>0.1950308959488174</c:v>
                </c:pt>
                <c:pt idx="31">
                  <c:v>0.19870253349060429</c:v>
                </c:pt>
                <c:pt idx="32">
                  <c:v>0.23725472767936795</c:v>
                </c:pt>
                <c:pt idx="33">
                  <c:v>0.27825468022932309</c:v>
                </c:pt>
                <c:pt idx="34">
                  <c:v>0.31823473346211495</c:v>
                </c:pt>
                <c:pt idx="35">
                  <c:v>0.35821478669490703</c:v>
                </c:pt>
                <c:pt idx="36">
                  <c:v>0.38636400784860747</c:v>
                </c:pt>
                <c:pt idx="37">
                  <c:v>0.39962269897172731</c:v>
                </c:pt>
                <c:pt idx="38">
                  <c:v>0.40839383309932953</c:v>
                </c:pt>
                <c:pt idx="39">
                  <c:v>0.42817987985229289</c:v>
                </c:pt>
                <c:pt idx="40">
                  <c:v>0.42960773889632131</c:v>
                </c:pt>
                <c:pt idx="41">
                  <c:v>0.44613010783436269</c:v>
                </c:pt>
                <c:pt idx="42">
                  <c:v>0.44613010783436269</c:v>
                </c:pt>
                <c:pt idx="43">
                  <c:v>0.46815993308508497</c:v>
                </c:pt>
                <c:pt idx="44">
                  <c:v>0.47427932898806335</c:v>
                </c:pt>
                <c:pt idx="45">
                  <c:v>0.49120965765297009</c:v>
                </c:pt>
                <c:pt idx="46">
                  <c:v>0.49120965765297009</c:v>
                </c:pt>
                <c:pt idx="47">
                  <c:v>0.53302552965665551</c:v>
                </c:pt>
                <c:pt idx="48">
                  <c:v>0.53302552965665551</c:v>
                </c:pt>
                <c:pt idx="49">
                  <c:v>0.53302552965665551</c:v>
                </c:pt>
                <c:pt idx="50">
                  <c:v>0.55566729449767549</c:v>
                </c:pt>
                <c:pt idx="51">
                  <c:v>0.55566729449767549</c:v>
                </c:pt>
                <c:pt idx="52">
                  <c:v>0.57728916002153241</c:v>
                </c:pt>
                <c:pt idx="53">
                  <c:v>0.69294574258782338</c:v>
                </c:pt>
                <c:pt idx="54">
                  <c:v>0.69539350094901464</c:v>
                </c:pt>
                <c:pt idx="55">
                  <c:v>0.72068700401465868</c:v>
                </c:pt>
                <c:pt idx="56">
                  <c:v>0.74047305076762204</c:v>
                </c:pt>
                <c:pt idx="57">
                  <c:v>0.74088101049448718</c:v>
                </c:pt>
                <c:pt idx="58">
                  <c:v>0.76066705724745054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36-4320-AD9C-12DD339358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  <c:pt idx="58">
                  <c:v>9507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36-4320-AD9C-12DD3393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67184"/>
        <c:axId val="1"/>
      </c:scatterChart>
      <c:valAx>
        <c:axId val="7110671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837573874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6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55800167836164"/>
          <c:y val="0.92024539877300615"/>
          <c:w val="0.81802863927723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C2AFAD2-1FAC-41BD-5B82-A30A726D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25</xdr:col>
      <xdr:colOff>495300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058E613-23F8-6079-DA93-964ACEC67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2" TargetMode="External"/><Relationship Id="rId13" Type="http://schemas.openxmlformats.org/officeDocument/2006/relationships/hyperlink" Target="http://www.konkoly.hu/cgi-bin/IBVS?488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" TargetMode="External"/><Relationship Id="rId21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konkoly.hu/cgi-bin/IBVS?32" TargetMode="External"/><Relationship Id="rId12" Type="http://schemas.openxmlformats.org/officeDocument/2006/relationships/hyperlink" Target="http://www.konkoly.hu/cgi-bin/IBVS?3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2" TargetMode="External"/><Relationship Id="rId6" Type="http://schemas.openxmlformats.org/officeDocument/2006/relationships/hyperlink" Target="http://www.konkoly.hu/cgi-bin/IBVS?32" TargetMode="External"/><Relationship Id="rId11" Type="http://schemas.openxmlformats.org/officeDocument/2006/relationships/hyperlink" Target="http://www.konkoly.hu/cgi-bin/IBVS?32" TargetMode="External"/><Relationship Id="rId24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32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konkoly.hu/cgi-bin/IBVS?32" TargetMode="External"/><Relationship Id="rId9" Type="http://schemas.openxmlformats.org/officeDocument/2006/relationships/hyperlink" Target="http://www.konkoly.hu/cgi-bin/IBVS?3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" customWidth="1"/>
    <col min="2" max="2" width="5.140625" style="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24</v>
      </c>
      <c r="B2" s="53" t="s">
        <v>33</v>
      </c>
    </row>
    <row r="4" spans="1:6" ht="14.25" thickTop="1" thickBot="1">
      <c r="A4" s="7" t="s">
        <v>0</v>
      </c>
      <c r="C4" s="3">
        <v>26352.25</v>
      </c>
      <c r="D4" s="4">
        <v>3.5562749999999999</v>
      </c>
    </row>
    <row r="5" spans="1:6" ht="13.5" thickTop="1">
      <c r="A5" s="12" t="s">
        <v>36</v>
      </c>
      <c r="B5" s="54"/>
      <c r="C5" s="14">
        <v>-9.5</v>
      </c>
      <c r="D5" s="13" t="s">
        <v>37</v>
      </c>
    </row>
    <row r="6" spans="1:6">
      <c r="A6" s="7" t="s">
        <v>1</v>
      </c>
    </row>
    <row r="7" spans="1:6">
      <c r="A7" t="s">
        <v>2</v>
      </c>
      <c r="C7">
        <f>+C4</f>
        <v>26352.25</v>
      </c>
    </row>
    <row r="8" spans="1:6">
      <c r="A8" t="s">
        <v>3</v>
      </c>
      <c r="C8">
        <f>+D4</f>
        <v>3.5562749999999999</v>
      </c>
    </row>
    <row r="9" spans="1:6">
      <c r="A9" s="27" t="s">
        <v>43</v>
      </c>
      <c r="B9" s="28">
        <v>49</v>
      </c>
      <c r="C9" s="26" t="str">
        <f>"F"&amp;B9</f>
        <v>F49</v>
      </c>
      <c r="D9" s="10" t="str">
        <f>"G"&amp;B9</f>
        <v>G49</v>
      </c>
    </row>
    <row r="10" spans="1:6" ht="13.5" thickBot="1">
      <c r="A10" s="13"/>
      <c r="B10" s="54"/>
      <c r="C10" s="6" t="s">
        <v>20</v>
      </c>
      <c r="D10" s="6" t="s">
        <v>21</v>
      </c>
      <c r="E10" s="13"/>
    </row>
    <row r="11" spans="1:6">
      <c r="A11" s="13" t="s">
        <v>16</v>
      </c>
      <c r="B11" s="54"/>
      <c r="C11" s="25">
        <f ca="1">INTERCEPT(INDIRECT($D$9):G986,INDIRECT($C$9):F986)</f>
        <v>-1.1785695044063922</v>
      </c>
      <c r="D11" s="5"/>
      <c r="E11" s="13"/>
    </row>
    <row r="12" spans="1:6">
      <c r="A12" s="13" t="s">
        <v>17</v>
      </c>
      <c r="B12" s="54"/>
      <c r="C12" s="25">
        <f ca="1">SLOPE(INDIRECT($D$9):G986,INDIRECT($C$9):F986)</f>
        <v>2.0397986343261205E-4</v>
      </c>
      <c r="D12" s="5"/>
      <c r="E12" s="13"/>
    </row>
    <row r="13" spans="1:6">
      <c r="A13" s="13" t="s">
        <v>19</v>
      </c>
      <c r="B13" s="54"/>
      <c r="C13" s="5" t="s">
        <v>14</v>
      </c>
    </row>
    <row r="14" spans="1:6">
      <c r="A14" s="13"/>
      <c r="B14" s="54"/>
      <c r="C14" s="13"/>
    </row>
    <row r="15" spans="1:6">
      <c r="A15" s="15" t="s">
        <v>18</v>
      </c>
      <c r="B15" s="54"/>
      <c r="C15" s="16">
        <f ca="1">(C7+C11)+(C8+C12)*INT(MAX(F21:F3527))</f>
        <v>60162.517092057242</v>
      </c>
      <c r="E15" s="17" t="s">
        <v>49</v>
      </c>
      <c r="F15" s="14">
        <v>1</v>
      </c>
    </row>
    <row r="16" spans="1:6">
      <c r="A16" s="19" t="s">
        <v>4</v>
      </c>
      <c r="B16" s="54"/>
      <c r="C16" s="20">
        <f ca="1">+C8+C12</f>
        <v>3.5564789798634324</v>
      </c>
      <c r="E16" s="17" t="s">
        <v>38</v>
      </c>
      <c r="F16" s="18">
        <f ca="1">NOW()+15018.5+$C$5/24</f>
        <v>60307.827978240741</v>
      </c>
    </row>
    <row r="17" spans="1:21" ht="13.5" thickBot="1">
      <c r="A17" s="17" t="s">
        <v>35</v>
      </c>
      <c r="B17" s="54"/>
      <c r="C17" s="13">
        <f>COUNT(C21:C2185)</f>
        <v>59</v>
      </c>
      <c r="E17" s="17" t="s">
        <v>50</v>
      </c>
      <c r="F17" s="18">
        <f ca="1">ROUND(2*(F16-$C$7)/$C$8,0)/2+F15</f>
        <v>9549</v>
      </c>
    </row>
    <row r="18" spans="1:21" ht="14.25" thickTop="1" thickBot="1">
      <c r="A18" s="19" t="s">
        <v>5</v>
      </c>
      <c r="B18" s="54"/>
      <c r="C18" s="22">
        <f ca="1">+C15</f>
        <v>60162.517092057242</v>
      </c>
      <c r="D18" s="23">
        <f ca="1">+C16</f>
        <v>3.5564789798634324</v>
      </c>
      <c r="E18" s="17" t="s">
        <v>39</v>
      </c>
      <c r="F18" s="10">
        <f ca="1">ROUND(2*(F16-$C$15)/$C$16,0)/2+F15</f>
        <v>42</v>
      </c>
    </row>
    <row r="19" spans="1:21" ht="13.5" thickTop="1">
      <c r="E19" s="17" t="s">
        <v>40</v>
      </c>
      <c r="F19" s="21">
        <f ca="1">+$C$15+$C$16*F18-15018.5-$C$5/24</f>
        <v>45293.785042544841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6" t="s">
        <v>265</v>
      </c>
    </row>
    <row r="21" spans="1:21">
      <c r="A21" s="52" t="s">
        <v>72</v>
      </c>
      <c r="B21" s="55" t="s">
        <v>42</v>
      </c>
      <c r="C21" s="52">
        <v>25591.215</v>
      </c>
      <c r="D21" s="52" t="s">
        <v>65</v>
      </c>
      <c r="E21">
        <f t="shared" ref="E21:E52" si="0">+(C21-C$7)/C$8</f>
        <v>-213.99779263414666</v>
      </c>
      <c r="F21">
        <f t="shared" ref="F21:F52" si="1">ROUND(2*E21,0)/2</f>
        <v>-214</v>
      </c>
      <c r="G21">
        <f>+C21-(C$7+F21*C$8)</f>
        <v>7.8500000017811544E-3</v>
      </c>
      <c r="I21">
        <f>+G21</f>
        <v>7.8500000017811544E-3</v>
      </c>
      <c r="Q21" s="2">
        <f t="shared" ref="Q21:Q52" si="2">+C21-15018.5</f>
        <v>10572.715</v>
      </c>
    </row>
    <row r="22" spans="1:21">
      <c r="A22" s="52" t="s">
        <v>266</v>
      </c>
      <c r="B22" s="55" t="s">
        <v>42</v>
      </c>
      <c r="C22" s="52">
        <v>26352.231</v>
      </c>
      <c r="D22" s="52" t="s">
        <v>65</v>
      </c>
      <c r="E22">
        <f t="shared" si="0"/>
        <v>-5.3426689443962661E-3</v>
      </c>
      <c r="F22">
        <f t="shared" si="1"/>
        <v>0</v>
      </c>
      <c r="G22">
        <f>+C22-(C$7+F22*C$8)</f>
        <v>-1.9000000000232831E-2</v>
      </c>
      <c r="I22">
        <f>+G22</f>
        <v>-1.9000000000232831E-2</v>
      </c>
      <c r="Q22" s="2">
        <f t="shared" si="2"/>
        <v>11333.731</v>
      </c>
    </row>
    <row r="23" spans="1:21">
      <c r="A23" t="s">
        <v>12</v>
      </c>
      <c r="C23" s="11">
        <v>26352.25</v>
      </c>
      <c r="D23" s="11" t="s">
        <v>14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11333.75</v>
      </c>
    </row>
    <row r="24" spans="1:21">
      <c r="A24" s="52" t="s">
        <v>266</v>
      </c>
      <c r="B24" s="55" t="s">
        <v>42</v>
      </c>
      <c r="C24" s="52">
        <v>26928.365000000002</v>
      </c>
      <c r="D24" s="52" t="s">
        <v>65</v>
      </c>
      <c r="E24">
        <f t="shared" si="0"/>
        <v>161.99956415069184</v>
      </c>
      <c r="F24">
        <f t="shared" si="1"/>
        <v>162</v>
      </c>
      <c r="G24">
        <f t="shared" ref="G24:G55" si="3">+C24-(C$7+F24*C$8)</f>
        <v>-1.5499999972234946E-3</v>
      </c>
      <c r="I24">
        <f t="shared" ref="I24:I52" si="4">+G24</f>
        <v>-1.5499999972234946E-3</v>
      </c>
      <c r="Q24" s="2">
        <f t="shared" si="2"/>
        <v>11909.865000000002</v>
      </c>
    </row>
    <row r="25" spans="1:21">
      <c r="A25" s="52" t="s">
        <v>266</v>
      </c>
      <c r="B25" s="55" t="s">
        <v>42</v>
      </c>
      <c r="C25" s="52">
        <v>26928.38</v>
      </c>
      <c r="D25" s="52" t="s">
        <v>65</v>
      </c>
      <c r="E25">
        <f t="shared" si="0"/>
        <v>162.00378204722668</v>
      </c>
      <c r="F25">
        <f t="shared" si="1"/>
        <v>162</v>
      </c>
      <c r="G25">
        <f t="shared" si="3"/>
        <v>1.3450000002194429E-2</v>
      </c>
      <c r="I25">
        <f t="shared" si="4"/>
        <v>1.3450000002194429E-2</v>
      </c>
      <c r="Q25" s="2">
        <f t="shared" si="2"/>
        <v>11909.880000000001</v>
      </c>
    </row>
    <row r="26" spans="1:21">
      <c r="A26" s="52" t="s">
        <v>266</v>
      </c>
      <c r="B26" s="55" t="s">
        <v>42</v>
      </c>
      <c r="C26" s="52">
        <v>26942.407999999999</v>
      </c>
      <c r="D26" s="52" t="s">
        <v>65</v>
      </c>
      <c r="E26">
        <f t="shared" si="0"/>
        <v>165.94835888675635</v>
      </c>
      <c r="F26">
        <f t="shared" si="1"/>
        <v>166</v>
      </c>
      <c r="G26">
        <f t="shared" si="3"/>
        <v>-0.18364999999903375</v>
      </c>
      <c r="I26">
        <f t="shared" si="4"/>
        <v>-0.18364999999903375</v>
      </c>
      <c r="Q26" s="2">
        <f t="shared" si="2"/>
        <v>11923.907999999999</v>
      </c>
    </row>
    <row r="27" spans="1:21">
      <c r="A27" s="52" t="s">
        <v>266</v>
      </c>
      <c r="B27" s="55" t="s">
        <v>42</v>
      </c>
      <c r="C27" s="52">
        <v>26985.269</v>
      </c>
      <c r="D27" s="52" t="s">
        <v>65</v>
      </c>
      <c r="E27">
        <f t="shared" si="0"/>
        <v>178.00057644585985</v>
      </c>
      <c r="F27">
        <f t="shared" si="1"/>
        <v>178</v>
      </c>
      <c r="G27">
        <f t="shared" si="3"/>
        <v>2.0499999991443474E-3</v>
      </c>
      <c r="I27">
        <f t="shared" si="4"/>
        <v>2.0499999991443474E-3</v>
      </c>
      <c r="Q27" s="2">
        <f t="shared" si="2"/>
        <v>11966.769</v>
      </c>
    </row>
    <row r="28" spans="1:21">
      <c r="A28" s="52" t="s">
        <v>266</v>
      </c>
      <c r="B28" s="55" t="s">
        <v>42</v>
      </c>
      <c r="C28" s="52">
        <v>26985.29</v>
      </c>
      <c r="D28" s="52" t="s">
        <v>65</v>
      </c>
      <c r="E28">
        <f t="shared" si="0"/>
        <v>178.00648150100903</v>
      </c>
      <c r="F28">
        <f t="shared" si="1"/>
        <v>178</v>
      </c>
      <c r="G28">
        <f t="shared" si="3"/>
        <v>2.3049999999784632E-2</v>
      </c>
      <c r="I28">
        <f t="shared" si="4"/>
        <v>2.3049999999784632E-2</v>
      </c>
      <c r="Q28" s="2">
        <f t="shared" si="2"/>
        <v>11966.79</v>
      </c>
    </row>
    <row r="29" spans="1:21">
      <c r="A29" s="52" t="s">
        <v>266</v>
      </c>
      <c r="B29" s="55" t="s">
        <v>42</v>
      </c>
      <c r="C29" s="52">
        <v>27625.406999999999</v>
      </c>
      <c r="D29" s="52" t="s">
        <v>65</v>
      </c>
      <c r="E29">
        <f t="shared" si="0"/>
        <v>358.00296658722942</v>
      </c>
      <c r="F29">
        <f t="shared" si="1"/>
        <v>358</v>
      </c>
      <c r="G29">
        <f t="shared" si="3"/>
        <v>1.0549999999057036E-2</v>
      </c>
      <c r="I29">
        <f t="shared" si="4"/>
        <v>1.0549999999057036E-2</v>
      </c>
      <c r="Q29" s="2">
        <f t="shared" si="2"/>
        <v>12606.906999999999</v>
      </c>
    </row>
    <row r="30" spans="1:21">
      <c r="A30" s="52" t="s">
        <v>100</v>
      </c>
      <c r="B30" s="55" t="s">
        <v>42</v>
      </c>
      <c r="C30" s="52">
        <v>36761.46</v>
      </c>
      <c r="D30" s="52" t="s">
        <v>65</v>
      </c>
      <c r="E30">
        <f t="shared" si="0"/>
        <v>2926.9980527377661</v>
      </c>
      <c r="F30">
        <f t="shared" si="1"/>
        <v>2927</v>
      </c>
      <c r="G30">
        <f t="shared" si="3"/>
        <v>-6.9250000015017577E-3</v>
      </c>
      <c r="I30">
        <f t="shared" si="4"/>
        <v>-6.9250000015017577E-3</v>
      </c>
      <c r="Q30" s="2">
        <f t="shared" si="2"/>
        <v>21742.959999999999</v>
      </c>
    </row>
    <row r="31" spans="1:21">
      <c r="A31" s="52" t="s">
        <v>100</v>
      </c>
      <c r="B31" s="55" t="s">
        <v>42</v>
      </c>
      <c r="C31" s="52">
        <v>36786.427000000003</v>
      </c>
      <c r="D31" s="52" t="s">
        <v>65</v>
      </c>
      <c r="E31">
        <f t="shared" si="0"/>
        <v>2934.0186009237204</v>
      </c>
      <c r="F31">
        <f t="shared" si="1"/>
        <v>2934</v>
      </c>
      <c r="G31">
        <f t="shared" si="3"/>
        <v>6.6150000006018672E-2</v>
      </c>
      <c r="I31">
        <f t="shared" si="4"/>
        <v>6.6150000006018672E-2</v>
      </c>
      <c r="Q31" s="2">
        <f t="shared" si="2"/>
        <v>21767.927000000003</v>
      </c>
    </row>
    <row r="32" spans="1:21">
      <c r="A32" s="52" t="s">
        <v>100</v>
      </c>
      <c r="B32" s="55" t="s">
        <v>42</v>
      </c>
      <c r="C32" s="52">
        <v>36811.389000000003</v>
      </c>
      <c r="D32" s="52" t="s">
        <v>65</v>
      </c>
      <c r="E32">
        <f t="shared" si="0"/>
        <v>2941.0377431441616</v>
      </c>
      <c r="F32">
        <f t="shared" si="1"/>
        <v>2941</v>
      </c>
      <c r="G32">
        <f t="shared" si="3"/>
        <v>0.13422500000160653</v>
      </c>
      <c r="I32">
        <f t="shared" si="4"/>
        <v>0.13422500000160653</v>
      </c>
      <c r="Q32" s="2">
        <f t="shared" si="2"/>
        <v>21792.889000000003</v>
      </c>
    </row>
    <row r="33" spans="1:31">
      <c r="A33" s="52" t="s">
        <v>266</v>
      </c>
      <c r="B33" s="55" t="s">
        <v>42</v>
      </c>
      <c r="C33" s="52">
        <v>36818.332999999999</v>
      </c>
      <c r="D33" s="52" t="s">
        <v>65</v>
      </c>
      <c r="E33">
        <f t="shared" si="0"/>
        <v>2942.9903480467624</v>
      </c>
      <c r="F33">
        <f t="shared" si="1"/>
        <v>2943</v>
      </c>
      <c r="G33">
        <f t="shared" si="3"/>
        <v>-3.432500000053551E-2</v>
      </c>
      <c r="I33">
        <f t="shared" si="4"/>
        <v>-3.432500000053551E-2</v>
      </c>
      <c r="Q33" s="2">
        <f t="shared" si="2"/>
        <v>21799.832999999999</v>
      </c>
    </row>
    <row r="34" spans="1:31">
      <c r="A34" s="52" t="s">
        <v>114</v>
      </c>
      <c r="B34" s="55" t="s">
        <v>42</v>
      </c>
      <c r="C34" s="52">
        <v>36818.410000000003</v>
      </c>
      <c r="D34" s="52" t="s">
        <v>65</v>
      </c>
      <c r="E34">
        <f t="shared" si="0"/>
        <v>2943.0119999156432</v>
      </c>
      <c r="F34">
        <f t="shared" si="1"/>
        <v>2943</v>
      </c>
      <c r="G34">
        <f t="shared" si="3"/>
        <v>4.2675000004237518E-2</v>
      </c>
      <c r="I34">
        <f t="shared" si="4"/>
        <v>4.2675000004237518E-2</v>
      </c>
      <c r="Q34" s="2">
        <f t="shared" si="2"/>
        <v>21799.910000000003</v>
      </c>
    </row>
    <row r="35" spans="1:31">
      <c r="A35" s="52" t="s">
        <v>266</v>
      </c>
      <c r="B35" s="55" t="s">
        <v>42</v>
      </c>
      <c r="C35" s="52">
        <v>36843.288</v>
      </c>
      <c r="D35" s="52" t="s">
        <v>65</v>
      </c>
      <c r="E35">
        <f t="shared" si="0"/>
        <v>2950.0075219154878</v>
      </c>
      <c r="F35">
        <f t="shared" si="1"/>
        <v>2950</v>
      </c>
      <c r="G35">
        <f t="shared" si="3"/>
        <v>2.6750000004540198E-2</v>
      </c>
      <c r="I35">
        <f t="shared" si="4"/>
        <v>2.6750000004540198E-2</v>
      </c>
      <c r="Q35" s="2">
        <f t="shared" si="2"/>
        <v>21824.788</v>
      </c>
    </row>
    <row r="36" spans="1:31">
      <c r="A36" s="52" t="s">
        <v>266</v>
      </c>
      <c r="B36" s="55" t="s">
        <v>42</v>
      </c>
      <c r="C36" s="52">
        <v>37188.322</v>
      </c>
      <c r="D36" s="52" t="s">
        <v>65</v>
      </c>
      <c r="E36">
        <f t="shared" si="0"/>
        <v>3047.0287027859208</v>
      </c>
      <c r="F36">
        <f t="shared" si="1"/>
        <v>3047</v>
      </c>
      <c r="G36">
        <f t="shared" si="3"/>
        <v>0.10207500000251457</v>
      </c>
      <c r="I36">
        <f t="shared" si="4"/>
        <v>0.10207500000251457</v>
      </c>
      <c r="Q36" s="2">
        <f t="shared" si="2"/>
        <v>22169.822</v>
      </c>
    </row>
    <row r="37" spans="1:31">
      <c r="A37" s="52" t="s">
        <v>266</v>
      </c>
      <c r="B37" s="55" t="s">
        <v>42</v>
      </c>
      <c r="C37" s="52">
        <v>37188.368000000002</v>
      </c>
      <c r="D37" s="52" t="s">
        <v>65</v>
      </c>
      <c r="E37">
        <f t="shared" si="0"/>
        <v>3047.0416376686289</v>
      </c>
      <c r="F37">
        <f t="shared" si="1"/>
        <v>3047</v>
      </c>
      <c r="G37">
        <f t="shared" si="3"/>
        <v>0.14807500000461005</v>
      </c>
      <c r="I37">
        <f t="shared" si="4"/>
        <v>0.14807500000461005</v>
      </c>
      <c r="Q37" s="2">
        <f t="shared" si="2"/>
        <v>22169.868000000002</v>
      </c>
    </row>
    <row r="38" spans="1:31">
      <c r="A38" s="52" t="s">
        <v>114</v>
      </c>
      <c r="B38" s="55" t="s">
        <v>42</v>
      </c>
      <c r="C38" s="52">
        <v>37202.444000000003</v>
      </c>
      <c r="D38" s="52" t="s">
        <v>65</v>
      </c>
      <c r="E38">
        <f t="shared" si="0"/>
        <v>3050.9997117770713</v>
      </c>
      <c r="F38">
        <f t="shared" si="1"/>
        <v>3051</v>
      </c>
      <c r="G38">
        <f t="shared" si="3"/>
        <v>-1.0249999977531843E-3</v>
      </c>
      <c r="I38">
        <f t="shared" si="4"/>
        <v>-1.0249999977531843E-3</v>
      </c>
      <c r="Q38" s="2">
        <f t="shared" si="2"/>
        <v>22183.944000000003</v>
      </c>
    </row>
    <row r="39" spans="1:31">
      <c r="A39" s="52" t="s">
        <v>266</v>
      </c>
      <c r="B39" s="55" t="s">
        <v>42</v>
      </c>
      <c r="C39" s="52">
        <v>37579.294000000002</v>
      </c>
      <c r="D39" s="52" t="s">
        <v>65</v>
      </c>
      <c r="E39">
        <f t="shared" si="0"/>
        <v>3156.9673323913371</v>
      </c>
      <c r="F39">
        <f t="shared" si="1"/>
        <v>3157</v>
      </c>
      <c r="G39">
        <f t="shared" si="3"/>
        <v>-0.11617499999556458</v>
      </c>
      <c r="I39">
        <f t="shared" si="4"/>
        <v>-0.11617499999556458</v>
      </c>
      <c r="Q39" s="2">
        <f t="shared" si="2"/>
        <v>22560.794000000002</v>
      </c>
    </row>
    <row r="40" spans="1:31">
      <c r="A40" s="52" t="s">
        <v>114</v>
      </c>
      <c r="B40" s="55" t="s">
        <v>42</v>
      </c>
      <c r="C40" s="52">
        <v>37579.387000000002</v>
      </c>
      <c r="D40" s="52" t="s">
        <v>65</v>
      </c>
      <c r="E40">
        <f t="shared" si="0"/>
        <v>3156.9934833498542</v>
      </c>
      <c r="F40">
        <f t="shared" si="1"/>
        <v>3157</v>
      </c>
      <c r="G40">
        <f t="shared" si="3"/>
        <v>-2.3174999994807877E-2</v>
      </c>
      <c r="I40">
        <f t="shared" si="4"/>
        <v>-2.3174999994807877E-2</v>
      </c>
      <c r="Q40" s="2">
        <f t="shared" si="2"/>
        <v>22560.887000000002</v>
      </c>
    </row>
    <row r="41" spans="1:31">
      <c r="A41" s="52" t="s">
        <v>114</v>
      </c>
      <c r="B41" s="55" t="s">
        <v>42</v>
      </c>
      <c r="C41" s="52">
        <v>37956.332999999999</v>
      </c>
      <c r="D41" s="52" t="s">
        <v>65</v>
      </c>
      <c r="E41">
        <f t="shared" si="0"/>
        <v>3262.9880985019436</v>
      </c>
      <c r="F41">
        <f t="shared" si="1"/>
        <v>3263</v>
      </c>
      <c r="G41">
        <f t="shared" si="3"/>
        <v>-4.2325000002165325E-2</v>
      </c>
      <c r="I41">
        <f t="shared" si="4"/>
        <v>-4.2325000002165325E-2</v>
      </c>
      <c r="Q41" s="2">
        <f t="shared" si="2"/>
        <v>22937.832999999999</v>
      </c>
    </row>
    <row r="42" spans="1:31">
      <c r="A42" s="52" t="s">
        <v>114</v>
      </c>
      <c r="B42" s="55" t="s">
        <v>42</v>
      </c>
      <c r="C42" s="52">
        <v>38557.438000000002</v>
      </c>
      <c r="D42" s="52" t="s">
        <v>65</v>
      </c>
      <c r="E42">
        <f t="shared" si="0"/>
        <v>3432.0146782799425</v>
      </c>
      <c r="F42">
        <f t="shared" si="1"/>
        <v>3432</v>
      </c>
      <c r="G42">
        <f t="shared" si="3"/>
        <v>5.2199999998265412E-2</v>
      </c>
      <c r="I42">
        <f t="shared" si="4"/>
        <v>5.2199999998265412E-2</v>
      </c>
      <c r="Q42" s="2">
        <f t="shared" si="2"/>
        <v>23538.938000000002</v>
      </c>
    </row>
    <row r="43" spans="1:31">
      <c r="A43" s="52" t="s">
        <v>114</v>
      </c>
      <c r="B43" s="55" t="s">
        <v>42</v>
      </c>
      <c r="C43" s="52">
        <v>39055.260999999999</v>
      </c>
      <c r="D43" s="52" t="s">
        <v>65</v>
      </c>
      <c r="E43">
        <f t="shared" si="0"/>
        <v>3571.999072062762</v>
      </c>
      <c r="F43">
        <f t="shared" si="1"/>
        <v>3572</v>
      </c>
      <c r="G43">
        <f t="shared" si="3"/>
        <v>-3.2999999966705218E-3</v>
      </c>
      <c r="I43">
        <f t="shared" si="4"/>
        <v>-3.2999999966705218E-3</v>
      </c>
      <c r="Q43" s="2">
        <f t="shared" si="2"/>
        <v>24036.760999999999</v>
      </c>
    </row>
    <row r="44" spans="1:31">
      <c r="A44" s="52" t="s">
        <v>146</v>
      </c>
      <c r="B44" s="55" t="s">
        <v>42</v>
      </c>
      <c r="C44" s="52">
        <v>45200.470999999998</v>
      </c>
      <c r="D44" s="52" t="s">
        <v>65</v>
      </c>
      <c r="E44">
        <f t="shared" si="0"/>
        <v>5299.9897364517647</v>
      </c>
      <c r="F44">
        <f t="shared" si="1"/>
        <v>5300</v>
      </c>
      <c r="G44">
        <f t="shared" si="3"/>
        <v>-3.650000000197906E-2</v>
      </c>
      <c r="I44">
        <f t="shared" si="4"/>
        <v>-3.650000000197906E-2</v>
      </c>
      <c r="Q44" s="2">
        <f t="shared" si="2"/>
        <v>30181.970999999998</v>
      </c>
    </row>
    <row r="45" spans="1:31">
      <c r="A45" s="52" t="s">
        <v>146</v>
      </c>
      <c r="B45" s="55" t="s">
        <v>42</v>
      </c>
      <c r="C45" s="52">
        <v>45200.474999999999</v>
      </c>
      <c r="D45" s="52" t="s">
        <v>65</v>
      </c>
      <c r="E45">
        <f t="shared" si="0"/>
        <v>5299.9908612241743</v>
      </c>
      <c r="F45">
        <f t="shared" si="1"/>
        <v>5300</v>
      </c>
      <c r="G45">
        <f t="shared" si="3"/>
        <v>-3.2500000001164153E-2</v>
      </c>
      <c r="I45">
        <f t="shared" si="4"/>
        <v>-3.2500000001164153E-2</v>
      </c>
      <c r="Q45" s="2">
        <f t="shared" si="2"/>
        <v>30181.974999999999</v>
      </c>
    </row>
    <row r="46" spans="1:31">
      <c r="A46" s="52" t="s">
        <v>146</v>
      </c>
      <c r="B46" s="55" t="s">
        <v>42</v>
      </c>
      <c r="C46" s="52">
        <v>45200.476999999999</v>
      </c>
      <c r="D46" s="52" t="s">
        <v>65</v>
      </c>
      <c r="E46">
        <f t="shared" si="0"/>
        <v>5299.9914236103787</v>
      </c>
      <c r="F46">
        <f t="shared" si="1"/>
        <v>5300</v>
      </c>
      <c r="G46">
        <f t="shared" si="3"/>
        <v>-3.05000000007567E-2</v>
      </c>
      <c r="I46">
        <f t="shared" si="4"/>
        <v>-3.05000000007567E-2</v>
      </c>
      <c r="Q46" s="2">
        <f t="shared" si="2"/>
        <v>30181.976999999999</v>
      </c>
    </row>
    <row r="47" spans="1:31">
      <c r="A47" s="52" t="s">
        <v>146</v>
      </c>
      <c r="B47" s="55" t="s">
        <v>42</v>
      </c>
      <c r="C47" s="52">
        <v>45200.478999999999</v>
      </c>
      <c r="D47" s="52" t="s">
        <v>65</v>
      </c>
      <c r="E47">
        <f t="shared" si="0"/>
        <v>5299.9919859965839</v>
      </c>
      <c r="F47">
        <f t="shared" si="1"/>
        <v>5300</v>
      </c>
      <c r="G47">
        <f t="shared" si="3"/>
        <v>-2.8500000000349246E-2</v>
      </c>
      <c r="I47">
        <f t="shared" si="4"/>
        <v>-2.8500000000349246E-2</v>
      </c>
      <c r="O47">
        <f t="shared" ref="O47:O72" ca="1" si="5">+C$11+C$12*F47</f>
        <v>-9.7476228213548399E-2</v>
      </c>
      <c r="Q47" s="2">
        <f t="shared" si="2"/>
        <v>30181.978999999999</v>
      </c>
    </row>
    <row r="48" spans="1:31">
      <c r="A48" t="s">
        <v>29</v>
      </c>
      <c r="C48" s="11">
        <v>48013.529000000002</v>
      </c>
      <c r="D48" s="11"/>
      <c r="E48">
        <f t="shared" si="0"/>
        <v>6091.0022425149918</v>
      </c>
      <c r="F48">
        <f t="shared" si="1"/>
        <v>6091</v>
      </c>
      <c r="G48">
        <f t="shared" si="3"/>
        <v>7.9750000077183358E-3</v>
      </c>
      <c r="I48">
        <f t="shared" si="4"/>
        <v>7.9750000077183358E-3</v>
      </c>
      <c r="O48">
        <f t="shared" ca="1" si="5"/>
        <v>6.3871843761647895E-2</v>
      </c>
      <c r="Q48" s="2">
        <f t="shared" si="2"/>
        <v>32995.029000000002</v>
      </c>
      <c r="AA48">
        <v>8</v>
      </c>
      <c r="AC48" t="s">
        <v>28</v>
      </c>
      <c r="AE48" t="s">
        <v>30</v>
      </c>
    </row>
    <row r="49" spans="1:31">
      <c r="A49" s="52" t="s">
        <v>167</v>
      </c>
      <c r="B49" s="55" t="s">
        <v>42</v>
      </c>
      <c r="C49" s="52">
        <v>49930.503100000002</v>
      </c>
      <c r="D49" s="52" t="s">
        <v>65</v>
      </c>
      <c r="E49">
        <f t="shared" si="0"/>
        <v>6630.0421367863855</v>
      </c>
      <c r="F49">
        <f t="shared" si="1"/>
        <v>6630</v>
      </c>
      <c r="G49">
        <f t="shared" si="3"/>
        <v>0.14985000000160653</v>
      </c>
      <c r="I49">
        <f t="shared" si="4"/>
        <v>0.14985000000160653</v>
      </c>
      <c r="O49">
        <f t="shared" ca="1" si="5"/>
        <v>0.17381699015182561</v>
      </c>
      <c r="Q49" s="2">
        <f t="shared" si="2"/>
        <v>34912.003100000002</v>
      </c>
    </row>
    <row r="50" spans="1:31">
      <c r="A50" t="s">
        <v>31</v>
      </c>
      <c r="C50" s="11">
        <v>50282.587</v>
      </c>
      <c r="D50" s="11">
        <v>2.1000000000000001E-2</v>
      </c>
      <c r="E50">
        <f t="shared" si="0"/>
        <v>6729.0457009089569</v>
      </c>
      <c r="F50">
        <f t="shared" si="1"/>
        <v>6729</v>
      </c>
      <c r="G50">
        <f t="shared" si="3"/>
        <v>0.16252499999973224</v>
      </c>
      <c r="I50">
        <f t="shared" si="4"/>
        <v>0.16252499999973224</v>
      </c>
      <c r="O50">
        <f t="shared" ca="1" si="5"/>
        <v>0.19401099663165433</v>
      </c>
      <c r="Q50" s="2">
        <f t="shared" si="2"/>
        <v>35264.087</v>
      </c>
      <c r="AA50">
        <v>12</v>
      </c>
      <c r="AC50" t="s">
        <v>28</v>
      </c>
      <c r="AE50" t="s">
        <v>30</v>
      </c>
    </row>
    <row r="51" spans="1:31">
      <c r="A51" t="s">
        <v>31</v>
      </c>
      <c r="C51" s="11">
        <v>50300.411</v>
      </c>
      <c r="D51" s="11">
        <v>8.9999999999999993E-3</v>
      </c>
      <c r="E51">
        <f t="shared" si="0"/>
        <v>6734.0576867649443</v>
      </c>
      <c r="F51">
        <f t="shared" si="1"/>
        <v>6734</v>
      </c>
      <c r="G51">
        <f t="shared" si="3"/>
        <v>0.20515000000159489</v>
      </c>
      <c r="I51">
        <f t="shared" si="4"/>
        <v>0.20515000000159489</v>
      </c>
      <c r="O51">
        <f t="shared" ca="1" si="5"/>
        <v>0.1950308959488174</v>
      </c>
      <c r="Q51" s="2">
        <f t="shared" si="2"/>
        <v>35281.911</v>
      </c>
      <c r="AA51">
        <v>25</v>
      </c>
      <c r="AC51" t="s">
        <v>28</v>
      </c>
      <c r="AE51" t="s">
        <v>30</v>
      </c>
    </row>
    <row r="52" spans="1:31">
      <c r="A52" t="s">
        <v>31</v>
      </c>
      <c r="C52" s="11">
        <v>50364.377999999997</v>
      </c>
      <c r="D52" s="11">
        <v>2.1000000000000001E-2</v>
      </c>
      <c r="E52">
        <f t="shared" si="0"/>
        <v>6752.0447659418905</v>
      </c>
      <c r="F52">
        <f t="shared" si="1"/>
        <v>6752</v>
      </c>
      <c r="G52">
        <f t="shared" si="3"/>
        <v>0.15919999999459833</v>
      </c>
      <c r="I52">
        <f t="shared" si="4"/>
        <v>0.15919999999459833</v>
      </c>
      <c r="O52">
        <f t="shared" ca="1" si="5"/>
        <v>0.19870253349060429</v>
      </c>
      <c r="Q52" s="2">
        <f t="shared" si="2"/>
        <v>35345.877999999997</v>
      </c>
      <c r="AA52">
        <v>9</v>
      </c>
      <c r="AC52" t="s">
        <v>28</v>
      </c>
      <c r="AE52" t="s">
        <v>30</v>
      </c>
    </row>
    <row r="53" spans="1:31">
      <c r="A53" t="s">
        <v>32</v>
      </c>
      <c r="C53" s="11">
        <v>51036.578099999999</v>
      </c>
      <c r="D53" s="11">
        <v>1.5E-3</v>
      </c>
      <c r="E53">
        <f t="shared" ref="E53:E72" si="6">+(C53-C$7)/C$8</f>
        <v>6941.0627974495783</v>
      </c>
      <c r="F53">
        <f t="shared" ref="F53:F73" si="7">ROUND(2*E53,0)/2</f>
        <v>6941</v>
      </c>
      <c r="G53">
        <f t="shared" si="3"/>
        <v>0.22332499999902211</v>
      </c>
      <c r="K53">
        <f>+G53</f>
        <v>0.22332499999902211</v>
      </c>
      <c r="O53">
        <f t="shared" ca="1" si="5"/>
        <v>0.23725472767936795</v>
      </c>
      <c r="Q53" s="2">
        <f t="shared" ref="Q53:Q72" si="8">+C53-15018.5</f>
        <v>36018.078099999999</v>
      </c>
    </row>
    <row r="54" spans="1:31">
      <c r="A54" s="29" t="s">
        <v>45</v>
      </c>
      <c r="B54" s="30" t="s">
        <v>42</v>
      </c>
      <c r="C54" s="29">
        <v>51751.432200000003</v>
      </c>
      <c r="D54" s="29" t="s">
        <v>46</v>
      </c>
      <c r="E54" s="31">
        <f t="shared" si="6"/>
        <v>7142.0748395441869</v>
      </c>
      <c r="F54">
        <f t="shared" si="7"/>
        <v>7142</v>
      </c>
      <c r="G54">
        <f t="shared" si="3"/>
        <v>0.26615000000310829</v>
      </c>
      <c r="K54">
        <f>+G54</f>
        <v>0.26615000000310829</v>
      </c>
      <c r="O54">
        <f t="shared" ca="1" si="5"/>
        <v>0.27825468022932309</v>
      </c>
      <c r="Q54" s="2">
        <f t="shared" si="8"/>
        <v>36732.932200000003</v>
      </c>
    </row>
    <row r="55" spans="1:31">
      <c r="A55" s="29" t="s">
        <v>45</v>
      </c>
      <c r="B55" s="30" t="s">
        <v>42</v>
      </c>
      <c r="C55" s="29">
        <v>52448.501700000001</v>
      </c>
      <c r="D55" s="29" t="s">
        <v>47</v>
      </c>
      <c r="E55" s="31">
        <f t="shared" si="6"/>
        <v>7338.085974791039</v>
      </c>
      <c r="F55">
        <f t="shared" si="7"/>
        <v>7338</v>
      </c>
      <c r="G55">
        <f t="shared" si="3"/>
        <v>0.3057500000068103</v>
      </c>
      <c r="K55">
        <f>+G55</f>
        <v>0.3057500000068103</v>
      </c>
      <c r="O55">
        <f t="shared" ca="1" si="5"/>
        <v>0.31823473346211495</v>
      </c>
      <c r="Q55" s="2">
        <f t="shared" si="8"/>
        <v>37430.001700000001</v>
      </c>
    </row>
    <row r="56" spans="1:31">
      <c r="A56" s="32" t="s">
        <v>34</v>
      </c>
      <c r="B56" s="33"/>
      <c r="C56" s="29">
        <v>53145.5717</v>
      </c>
      <c r="D56" s="29">
        <v>6.9999999999999999E-4</v>
      </c>
      <c r="E56" s="31">
        <f t="shared" si="6"/>
        <v>7534.0972506344424</v>
      </c>
      <c r="F56">
        <f t="shared" si="7"/>
        <v>7534</v>
      </c>
      <c r="G56">
        <f t="shared" ref="G56:G72" si="9">+C56-(C$7+F56*C$8)</f>
        <v>0.34584999999788124</v>
      </c>
      <c r="J56">
        <f>+G56</f>
        <v>0.34584999999788124</v>
      </c>
      <c r="O56">
        <f t="shared" ca="1" si="5"/>
        <v>0.35821478669490703</v>
      </c>
      <c r="Q56" s="2">
        <f t="shared" si="8"/>
        <v>38127.0717</v>
      </c>
    </row>
    <row r="57" spans="1:31">
      <c r="A57" s="29" t="s">
        <v>45</v>
      </c>
      <c r="B57" s="30" t="s">
        <v>42</v>
      </c>
      <c r="C57" s="29">
        <v>53636.369939999997</v>
      </c>
      <c r="D57" s="29">
        <v>4.0000000000000002E-4</v>
      </c>
      <c r="E57" s="31">
        <f t="shared" si="6"/>
        <v>7672.1063303597157</v>
      </c>
      <c r="F57">
        <f t="shared" si="7"/>
        <v>7672</v>
      </c>
      <c r="G57">
        <f t="shared" si="9"/>
        <v>0.3781399999934365</v>
      </c>
      <c r="K57">
        <f>+G57</f>
        <v>0.3781399999934365</v>
      </c>
      <c r="O57">
        <f t="shared" ca="1" si="5"/>
        <v>0.38636400784860747</v>
      </c>
      <c r="Q57" s="2">
        <f t="shared" si="8"/>
        <v>38617.869939999997</v>
      </c>
    </row>
    <row r="58" spans="1:31">
      <c r="A58" s="24" t="s">
        <v>41</v>
      </c>
      <c r="B58" s="33" t="s">
        <v>42</v>
      </c>
      <c r="C58" s="29">
        <v>53867.547100000003</v>
      </c>
      <c r="D58" s="29">
        <v>2.0000000000000001E-4</v>
      </c>
      <c r="E58" s="31">
        <f t="shared" si="6"/>
        <v>7737.1117531686959</v>
      </c>
      <c r="F58">
        <f t="shared" si="7"/>
        <v>7737</v>
      </c>
      <c r="G58">
        <f t="shared" si="9"/>
        <v>0.39742500000284053</v>
      </c>
      <c r="J58">
        <f>+G58</f>
        <v>0.39742500000284053</v>
      </c>
      <c r="O58">
        <f t="shared" ca="1" si="5"/>
        <v>0.39962269897172731</v>
      </c>
      <c r="Q58" s="2">
        <f t="shared" si="8"/>
        <v>38849.047100000003</v>
      </c>
    </row>
    <row r="59" spans="1:31">
      <c r="A59" s="24" t="s">
        <v>41</v>
      </c>
      <c r="B59" s="33" t="s">
        <v>42</v>
      </c>
      <c r="C59" s="29">
        <v>54020.480100000001</v>
      </c>
      <c r="D59" s="29">
        <v>1.1999999999999999E-3</v>
      </c>
      <c r="E59" s="31">
        <f t="shared" si="6"/>
        <v>7780.1154578878186</v>
      </c>
      <c r="F59">
        <f t="shared" si="7"/>
        <v>7780</v>
      </c>
      <c r="G59">
        <f t="shared" si="9"/>
        <v>0.4106000000028871</v>
      </c>
      <c r="J59">
        <f>+G59</f>
        <v>0.4106000000028871</v>
      </c>
      <c r="O59">
        <f t="shared" ca="1" si="5"/>
        <v>0.40839383309932953</v>
      </c>
      <c r="Q59" s="2">
        <f t="shared" si="8"/>
        <v>39001.980100000001</v>
      </c>
    </row>
    <row r="60" spans="1:31">
      <c r="A60" s="52" t="s">
        <v>221</v>
      </c>
      <c r="B60" s="55" t="s">
        <v>42</v>
      </c>
      <c r="C60" s="52">
        <v>54365.462599999999</v>
      </c>
      <c r="D60" s="52" t="s">
        <v>65</v>
      </c>
      <c r="E60">
        <f t="shared" si="6"/>
        <v>7877.1221573134808</v>
      </c>
      <c r="F60">
        <f t="shared" si="7"/>
        <v>7877</v>
      </c>
      <c r="G60">
        <f t="shared" si="9"/>
        <v>0.43442499999946449</v>
      </c>
      <c r="J60">
        <f>+G60</f>
        <v>0.43442499999946449</v>
      </c>
      <c r="O60">
        <f t="shared" ca="1" si="5"/>
        <v>0.42817987985229289</v>
      </c>
      <c r="Q60" s="2">
        <f t="shared" si="8"/>
        <v>39346.962599999999</v>
      </c>
    </row>
    <row r="61" spans="1:31">
      <c r="A61" s="29" t="s">
        <v>44</v>
      </c>
      <c r="B61" s="30" t="s">
        <v>42</v>
      </c>
      <c r="C61" s="29">
        <v>54390.359799999998</v>
      </c>
      <c r="D61" s="29">
        <v>2.9999999999999997E-4</v>
      </c>
      <c r="E61" s="31">
        <f t="shared" si="6"/>
        <v>7884.1230782208913</v>
      </c>
      <c r="F61">
        <f t="shared" si="7"/>
        <v>7884</v>
      </c>
      <c r="G61">
        <f t="shared" si="9"/>
        <v>0.43770000000222353</v>
      </c>
      <c r="J61">
        <f>+G61</f>
        <v>0.43770000000222353</v>
      </c>
      <c r="O61">
        <f t="shared" ca="1" si="5"/>
        <v>0.42960773889632131</v>
      </c>
      <c r="Q61" s="2">
        <f t="shared" si="8"/>
        <v>39371.859799999998</v>
      </c>
    </row>
    <row r="62" spans="1:31">
      <c r="A62" s="29" t="s">
        <v>48</v>
      </c>
      <c r="B62" s="30" t="s">
        <v>42</v>
      </c>
      <c r="C62" s="29">
        <v>54678.438370000003</v>
      </c>
      <c r="D62" s="29">
        <v>2.9999999999999997E-4</v>
      </c>
      <c r="E62" s="31">
        <f t="shared" si="6"/>
        <v>7965.1287850349045</v>
      </c>
      <c r="F62">
        <f t="shared" si="7"/>
        <v>7965</v>
      </c>
      <c r="G62">
        <f t="shared" si="9"/>
        <v>0.45799500000430271</v>
      </c>
      <c r="K62">
        <f>+G62</f>
        <v>0.45799500000430271</v>
      </c>
      <c r="O62">
        <f t="shared" ca="1" si="5"/>
        <v>0.44613010783436269</v>
      </c>
      <c r="Q62" s="2">
        <f t="shared" si="8"/>
        <v>39659.938370000003</v>
      </c>
    </row>
    <row r="63" spans="1:31">
      <c r="A63" s="29" t="s">
        <v>48</v>
      </c>
      <c r="B63" s="30" t="s">
        <v>42</v>
      </c>
      <c r="C63" s="29">
        <v>54678.439530000003</v>
      </c>
      <c r="D63" s="29">
        <v>2.0000000000000001E-4</v>
      </c>
      <c r="E63" s="31">
        <f t="shared" si="6"/>
        <v>7965.1291112189028</v>
      </c>
      <c r="F63">
        <f t="shared" si="7"/>
        <v>7965</v>
      </c>
      <c r="G63">
        <f t="shared" si="9"/>
        <v>0.45915500000410248</v>
      </c>
      <c r="K63">
        <f>+G63</f>
        <v>0.45915500000410248</v>
      </c>
      <c r="O63">
        <f t="shared" ca="1" si="5"/>
        <v>0.44613010783436269</v>
      </c>
      <c r="Q63" s="2">
        <f t="shared" si="8"/>
        <v>39659.939530000003</v>
      </c>
    </row>
    <row r="64" spans="1:31">
      <c r="A64" s="34" t="s">
        <v>52</v>
      </c>
      <c r="B64" s="35" t="s">
        <v>42</v>
      </c>
      <c r="C64" s="34">
        <v>55062.547200000001</v>
      </c>
      <c r="D64" s="34">
        <v>1E-4</v>
      </c>
      <c r="E64" s="31">
        <f t="shared" si="6"/>
        <v>8073.1375385761794</v>
      </c>
      <c r="F64">
        <f t="shared" si="7"/>
        <v>8073</v>
      </c>
      <c r="G64">
        <f t="shared" si="9"/>
        <v>0.48912500000733417</v>
      </c>
      <c r="J64">
        <f>+G64</f>
        <v>0.48912500000733417</v>
      </c>
      <c r="O64">
        <f t="shared" ca="1" si="5"/>
        <v>0.46815993308508497</v>
      </c>
      <c r="Q64" s="2">
        <f t="shared" si="8"/>
        <v>40044.047200000001</v>
      </c>
    </row>
    <row r="65" spans="1:17">
      <c r="A65" s="24" t="s">
        <v>51</v>
      </c>
      <c r="B65" s="30" t="s">
        <v>42</v>
      </c>
      <c r="C65" s="29">
        <v>55169.241820000003</v>
      </c>
      <c r="D65" s="29">
        <v>2.9999999999999997E-4</v>
      </c>
      <c r="E65" s="31">
        <f t="shared" si="6"/>
        <v>8103.1393297762415</v>
      </c>
      <c r="F65">
        <f t="shared" si="7"/>
        <v>8103</v>
      </c>
      <c r="G65">
        <f t="shared" si="9"/>
        <v>0.49549500000284752</v>
      </c>
      <c r="K65">
        <f t="shared" ref="K65:K72" si="10">+G65</f>
        <v>0.49549500000284752</v>
      </c>
      <c r="O65">
        <f t="shared" ca="1" si="5"/>
        <v>0.47427932898806335</v>
      </c>
      <c r="Q65" s="2">
        <f t="shared" si="8"/>
        <v>40150.741820000003</v>
      </c>
    </row>
    <row r="66" spans="1:17">
      <c r="A66" s="24" t="s">
        <v>51</v>
      </c>
      <c r="B66" s="30" t="s">
        <v>42</v>
      </c>
      <c r="C66" s="29">
        <v>55464.432419999997</v>
      </c>
      <c r="D66" s="29">
        <v>5.0000000000000001E-4</v>
      </c>
      <c r="E66" s="31">
        <f t="shared" si="6"/>
        <v>8186.1448903698392</v>
      </c>
      <c r="F66">
        <f t="shared" si="7"/>
        <v>8186</v>
      </c>
      <c r="G66">
        <f t="shared" si="9"/>
        <v>0.51527000000351109</v>
      </c>
      <c r="K66">
        <f t="shared" si="10"/>
        <v>0.51527000000351109</v>
      </c>
      <c r="O66">
        <f t="shared" ca="1" si="5"/>
        <v>0.49120965765297009</v>
      </c>
      <c r="Q66" s="2">
        <f t="shared" si="8"/>
        <v>40445.932419999997</v>
      </c>
    </row>
    <row r="67" spans="1:17">
      <c r="A67" s="24" t="s">
        <v>51</v>
      </c>
      <c r="B67" s="30" t="s">
        <v>42</v>
      </c>
      <c r="C67" s="29">
        <v>55464.433219999999</v>
      </c>
      <c r="D67" s="29">
        <v>2.9999999999999997E-4</v>
      </c>
      <c r="E67" s="31">
        <f t="shared" si="6"/>
        <v>8186.1451153243215</v>
      </c>
      <c r="F67">
        <f t="shared" si="7"/>
        <v>8186</v>
      </c>
      <c r="G67">
        <f t="shared" si="9"/>
        <v>0.51607000000512926</v>
      </c>
      <c r="K67">
        <f t="shared" si="10"/>
        <v>0.51607000000512926</v>
      </c>
      <c r="O67">
        <f t="shared" ca="1" si="5"/>
        <v>0.49120965765297009</v>
      </c>
      <c r="Q67" s="2">
        <f t="shared" si="8"/>
        <v>40445.933219999999</v>
      </c>
    </row>
    <row r="68" spans="1:17">
      <c r="A68" s="57" t="s">
        <v>53</v>
      </c>
      <c r="B68" s="58" t="s">
        <v>42</v>
      </c>
      <c r="C68" s="59">
        <v>56193.516810000001</v>
      </c>
      <c r="D68" s="59">
        <v>4.0000000000000002E-4</v>
      </c>
      <c r="E68" s="31">
        <f t="shared" si="6"/>
        <v>8391.1583918566484</v>
      </c>
      <c r="F68">
        <f t="shared" si="7"/>
        <v>8391</v>
      </c>
      <c r="G68">
        <f t="shared" si="9"/>
        <v>0.56328500000381609</v>
      </c>
      <c r="K68">
        <f t="shared" si="10"/>
        <v>0.56328500000381609</v>
      </c>
      <c r="O68">
        <f t="shared" ca="1" si="5"/>
        <v>0.53302552965665551</v>
      </c>
      <c r="Q68" s="2">
        <f t="shared" si="8"/>
        <v>41175.016810000001</v>
      </c>
    </row>
    <row r="69" spans="1:17">
      <c r="A69" s="57" t="s">
        <v>53</v>
      </c>
      <c r="B69" s="58" t="s">
        <v>42</v>
      </c>
      <c r="C69" s="59">
        <v>56193.517010000003</v>
      </c>
      <c r="D69" s="59">
        <v>2.9999999999999997E-4</v>
      </c>
      <c r="E69" s="31">
        <f t="shared" si="6"/>
        <v>8391.1584480952697</v>
      </c>
      <c r="F69">
        <f t="shared" si="7"/>
        <v>8391</v>
      </c>
      <c r="G69">
        <f t="shared" si="9"/>
        <v>0.56348500000603963</v>
      </c>
      <c r="K69">
        <f t="shared" si="10"/>
        <v>0.56348500000603963</v>
      </c>
      <c r="O69">
        <f t="shared" ca="1" si="5"/>
        <v>0.53302552965665551</v>
      </c>
      <c r="Q69" s="2">
        <f t="shared" si="8"/>
        <v>41175.017010000003</v>
      </c>
    </row>
    <row r="70" spans="1:17">
      <c r="A70" s="57" t="s">
        <v>53</v>
      </c>
      <c r="B70" s="58" t="s">
        <v>42</v>
      </c>
      <c r="C70" s="59">
        <v>56193.517209999998</v>
      </c>
      <c r="D70" s="59">
        <v>2.9999999999999997E-4</v>
      </c>
      <c r="E70" s="31">
        <f t="shared" si="6"/>
        <v>8391.1585043338891</v>
      </c>
      <c r="F70">
        <f t="shared" si="7"/>
        <v>8391</v>
      </c>
      <c r="G70">
        <f t="shared" si="9"/>
        <v>0.5636850000009872</v>
      </c>
      <c r="K70">
        <f t="shared" si="10"/>
        <v>0.5636850000009872</v>
      </c>
      <c r="O70">
        <f t="shared" ca="1" si="5"/>
        <v>0.53302552965665551</v>
      </c>
      <c r="Q70" s="2">
        <f t="shared" si="8"/>
        <v>41175.017209999998</v>
      </c>
    </row>
    <row r="71" spans="1:17" s="71" customFormat="1" ht="12" customHeight="1">
      <c r="A71" s="36" t="s">
        <v>55</v>
      </c>
      <c r="B71" s="37" t="s">
        <v>42</v>
      </c>
      <c r="C71" s="70">
        <v>56588.28527</v>
      </c>
      <c r="D71" s="36">
        <v>1E-4</v>
      </c>
      <c r="E71" s="31">
        <f t="shared" si="6"/>
        <v>8502.1645598273481</v>
      </c>
      <c r="F71" s="71">
        <f t="shared" si="7"/>
        <v>8502</v>
      </c>
      <c r="G71" s="71">
        <f t="shared" si="9"/>
        <v>0.58522000000084518</v>
      </c>
      <c r="K71" s="71">
        <f t="shared" si="10"/>
        <v>0.58522000000084518</v>
      </c>
      <c r="O71" s="71">
        <f t="shared" ca="1" si="5"/>
        <v>0.55566729449767549</v>
      </c>
      <c r="Q71" s="72">
        <f t="shared" si="8"/>
        <v>41569.78527</v>
      </c>
    </row>
    <row r="72" spans="1:17" s="71" customFormat="1" ht="12" customHeight="1">
      <c r="A72" s="36" t="s">
        <v>55</v>
      </c>
      <c r="B72" s="37" t="s">
        <v>42</v>
      </c>
      <c r="C72" s="70">
        <v>56588.285499999998</v>
      </c>
      <c r="D72" s="36">
        <v>1E-4</v>
      </c>
      <c r="E72" s="31">
        <f t="shared" si="6"/>
        <v>8502.16462450176</v>
      </c>
      <c r="F72" s="71">
        <f t="shared" si="7"/>
        <v>8502</v>
      </c>
      <c r="G72" s="71">
        <f t="shared" si="9"/>
        <v>0.58544999999867287</v>
      </c>
      <c r="K72" s="71">
        <f t="shared" si="10"/>
        <v>0.58544999999867287</v>
      </c>
      <c r="O72" s="71">
        <f t="shared" ca="1" si="5"/>
        <v>0.55566729449767549</v>
      </c>
      <c r="Q72" s="72">
        <f t="shared" si="8"/>
        <v>41569.785499999998</v>
      </c>
    </row>
    <row r="73" spans="1:17" s="71" customFormat="1" ht="12" customHeight="1">
      <c r="A73" s="60" t="s">
        <v>267</v>
      </c>
      <c r="B73" s="61" t="s">
        <v>42</v>
      </c>
      <c r="C73" s="62">
        <v>56965.271379999998</v>
      </c>
      <c r="D73" s="62">
        <v>8.0000000000000004E-4</v>
      </c>
      <c r="E73" s="31">
        <f>+(C73-C$7)/C$8</f>
        <v>8608.1704536347715</v>
      </c>
      <c r="F73" s="71">
        <f t="shared" si="7"/>
        <v>8608</v>
      </c>
      <c r="G73" s="71">
        <f>+C73-(C$7+F73*C$8)</f>
        <v>0.60617999999521999</v>
      </c>
      <c r="K73" s="71">
        <f>+G73</f>
        <v>0.60617999999521999</v>
      </c>
      <c r="O73" s="71">
        <f ca="1">+C$11+C$12*F73</f>
        <v>0.57728916002153241</v>
      </c>
      <c r="Q73" s="72">
        <f>+C73-15018.5</f>
        <v>41946.771379999998</v>
      </c>
    </row>
    <row r="74" spans="1:17" s="71" customFormat="1" ht="12" customHeight="1">
      <c r="A74" s="63" t="s">
        <v>268</v>
      </c>
      <c r="B74" s="64" t="s">
        <v>42</v>
      </c>
      <c r="C74" s="65">
        <v>58981.812299999998</v>
      </c>
      <c r="D74" s="65">
        <v>1.1999999999999999E-3</v>
      </c>
      <c r="E74" s="31">
        <f>+(C74-C$7)/C$8</f>
        <v>9175.2078509114162</v>
      </c>
      <c r="F74" s="71">
        <f>ROUND(2*E74,0)/2</f>
        <v>9175</v>
      </c>
      <c r="G74" s="71">
        <f>+C74-(C$7+F74*C$8)</f>
        <v>0.73917500000243308</v>
      </c>
      <c r="K74" s="71">
        <f>+G74</f>
        <v>0.73917500000243308</v>
      </c>
      <c r="O74" s="71">
        <f ca="1">+C$11+C$12*F74</f>
        <v>0.69294574258782338</v>
      </c>
      <c r="Q74" s="72">
        <f>+C74-15018.5</f>
        <v>43963.312299999998</v>
      </c>
    </row>
    <row r="75" spans="1:17" s="71" customFormat="1" ht="12" customHeight="1">
      <c r="A75" s="66" t="s">
        <v>269</v>
      </c>
      <c r="B75" s="67" t="s">
        <v>42</v>
      </c>
      <c r="C75" s="77">
        <v>59024.4306</v>
      </c>
      <c r="D75" s="76">
        <v>1.1000000000000001E-3</v>
      </c>
      <c r="E75" s="31">
        <f t="shared" ref="E75" si="11">+(C75-C$7)/C$8</f>
        <v>9187.1918229045841</v>
      </c>
      <c r="F75" s="71">
        <f t="shared" ref="F75" si="12">ROUND(2*E75,0)/2</f>
        <v>9187</v>
      </c>
      <c r="G75" s="71">
        <f t="shared" ref="G75" si="13">+C75-(C$7+F75*C$8)</f>
        <v>0.68217500000173459</v>
      </c>
      <c r="K75" s="71">
        <f t="shared" ref="K75" si="14">+G75</f>
        <v>0.68217500000173459</v>
      </c>
      <c r="O75" s="71">
        <f t="shared" ref="O75" ca="1" si="15">+C$11+C$12*F75</f>
        <v>0.69539350094901464</v>
      </c>
      <c r="Q75" s="72">
        <f t="shared" ref="Q75" si="16">+C75-15018.5</f>
        <v>44005.9306</v>
      </c>
    </row>
    <row r="76" spans="1:17" s="71" customFormat="1" ht="12" customHeight="1">
      <c r="A76" s="68" t="s">
        <v>270</v>
      </c>
      <c r="B76" s="69" t="s">
        <v>42</v>
      </c>
      <c r="C76" s="77">
        <v>59465.411800000002</v>
      </c>
      <c r="D76" s="76">
        <v>2.0000000000000001E-4</v>
      </c>
      <c r="E76" s="31">
        <f t="shared" ref="E76:E78" si="17">+(C76-C$7)/C$8</f>
        <v>9311.1926946032017</v>
      </c>
      <c r="F76" s="71">
        <f t="shared" ref="F76:F78" si="18">ROUND(2*E76,0)/2</f>
        <v>9311</v>
      </c>
      <c r="G76" s="71">
        <f t="shared" ref="G76:G78" si="19">+C76-(C$7+F76*C$8)</f>
        <v>0.68527500000345754</v>
      </c>
      <c r="K76" s="71">
        <f t="shared" ref="K76:K78" si="20">+G76</f>
        <v>0.68527500000345754</v>
      </c>
      <c r="O76" s="71">
        <f t="shared" ref="O76:O78" ca="1" si="21">+C$11+C$12*F76</f>
        <v>0.72068700401465868</v>
      </c>
      <c r="Q76" s="72">
        <f t="shared" ref="Q76:Q78" si="22">+C76-15018.5</f>
        <v>44446.911800000002</v>
      </c>
    </row>
    <row r="77" spans="1:17" s="71" customFormat="1" ht="12" customHeight="1">
      <c r="A77" s="68" t="s">
        <v>270</v>
      </c>
      <c r="B77" s="69" t="s">
        <v>42</v>
      </c>
      <c r="C77" s="77">
        <v>59810.376400000001</v>
      </c>
      <c r="D77" s="76">
        <v>5.9999999999999995E-4</v>
      </c>
      <c r="E77" s="31">
        <f t="shared" si="17"/>
        <v>9408.1943606723326</v>
      </c>
      <c r="F77" s="71">
        <f t="shared" si="18"/>
        <v>9408</v>
      </c>
      <c r="G77" s="71">
        <f t="shared" si="19"/>
        <v>0.69120000000111759</v>
      </c>
      <c r="K77" s="71">
        <f t="shared" si="20"/>
        <v>0.69120000000111759</v>
      </c>
      <c r="O77" s="71">
        <f t="shared" ca="1" si="21"/>
        <v>0.74047305076762204</v>
      </c>
      <c r="Q77" s="72">
        <f t="shared" si="22"/>
        <v>44791.876400000001</v>
      </c>
    </row>
    <row r="78" spans="1:17" s="71" customFormat="1" ht="12" customHeight="1">
      <c r="A78" s="68" t="s">
        <v>270</v>
      </c>
      <c r="B78" s="69" t="s">
        <v>42</v>
      </c>
      <c r="C78" s="77">
        <v>59817.488700000002</v>
      </c>
      <c r="D78" s="76">
        <v>1E-4</v>
      </c>
      <c r="E78" s="31">
        <f t="shared" si="17"/>
        <v>9410.1942903740583</v>
      </c>
      <c r="F78" s="71">
        <f t="shared" si="18"/>
        <v>9410</v>
      </c>
      <c r="G78" s="71">
        <f t="shared" si="19"/>
        <v>0.69095000000379514</v>
      </c>
      <c r="K78" s="71">
        <f t="shared" si="20"/>
        <v>0.69095000000379514</v>
      </c>
      <c r="O78" s="71">
        <f t="shared" ca="1" si="21"/>
        <v>0.74088101049448718</v>
      </c>
      <c r="Q78" s="72">
        <f t="shared" si="22"/>
        <v>44798.988700000002</v>
      </c>
    </row>
    <row r="79" spans="1:17" s="71" customFormat="1" ht="12" customHeight="1">
      <c r="A79" s="74" t="s">
        <v>271</v>
      </c>
      <c r="B79" s="75" t="s">
        <v>42</v>
      </c>
      <c r="C79" s="76">
        <v>60162.452700000002</v>
      </c>
      <c r="D79" s="76">
        <v>1E-4</v>
      </c>
      <c r="E79" s="31">
        <f t="shared" ref="E79" si="23">+(C79-C$7)/C$8</f>
        <v>9507.1957877273271</v>
      </c>
      <c r="F79" s="71">
        <f t="shared" ref="F79" si="24">ROUND(2*E79,0)/2</f>
        <v>9507</v>
      </c>
      <c r="G79" s="71">
        <f t="shared" ref="G79" si="25">+C79-(C$7+F79*C$8)</f>
        <v>0.69627500000206055</v>
      </c>
      <c r="K79" s="71">
        <f t="shared" ref="K79" si="26">+G79</f>
        <v>0.69627500000206055</v>
      </c>
      <c r="O79" s="71">
        <f t="shared" ref="O79" ca="1" si="27">+C$11+C$12*F79</f>
        <v>0.76066705724745054</v>
      </c>
      <c r="Q79" s="72">
        <f t="shared" ref="Q79" si="28">+C79-15018.5</f>
        <v>45143.952700000002</v>
      </c>
    </row>
    <row r="80" spans="1:17" s="71" customFormat="1" ht="12" customHeight="1">
      <c r="B80" s="73"/>
      <c r="C80" s="78"/>
      <c r="D80" s="78"/>
    </row>
    <row r="81" spans="2:4" s="71" customFormat="1" ht="12" customHeight="1">
      <c r="B81" s="73"/>
      <c r="C81" s="78"/>
      <c r="D81" s="78"/>
    </row>
    <row r="82" spans="2:4" s="71" customFormat="1" ht="12" customHeight="1">
      <c r="B82" s="73"/>
      <c r="C82" s="78"/>
      <c r="D82" s="78"/>
    </row>
    <row r="83" spans="2:4">
      <c r="C83" s="39"/>
      <c r="D83" s="39"/>
    </row>
    <row r="84" spans="2:4">
      <c r="C84" s="39"/>
      <c r="D84" s="39"/>
    </row>
    <row r="85" spans="2:4">
      <c r="C85" s="39"/>
      <c r="D85" s="39"/>
    </row>
    <row r="86" spans="2:4">
      <c r="C86" s="39"/>
      <c r="D86" s="39"/>
    </row>
    <row r="87" spans="2:4">
      <c r="C87" s="39"/>
      <c r="D87" s="39"/>
    </row>
    <row r="88" spans="2:4">
      <c r="C88" s="39"/>
      <c r="D88" s="39"/>
    </row>
    <row r="89" spans="2:4">
      <c r="C89" s="39"/>
      <c r="D89" s="39"/>
    </row>
    <row r="90" spans="2:4">
      <c r="C90" s="39"/>
      <c r="D90" s="39"/>
    </row>
    <row r="91" spans="2:4">
      <c r="C91" s="39"/>
      <c r="D91" s="39"/>
    </row>
  </sheetData>
  <phoneticPr fontId="8" type="noConversion"/>
  <hyperlinks>
    <hyperlink ref="H97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12" workbookViewId="0">
      <selection activeCell="A27" sqref="A27:D59"/>
    </sheetView>
  </sheetViews>
  <sheetFormatPr defaultRowHeight="12.75"/>
  <cols>
    <col min="1" max="1" width="19.7109375" style="39" customWidth="1"/>
    <col min="2" max="2" width="4.42578125" style="13" customWidth="1"/>
    <col min="3" max="3" width="12.7109375" style="3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8" t="s">
        <v>56</v>
      </c>
      <c r="I1" s="40" t="s">
        <v>57</v>
      </c>
      <c r="J1" s="41" t="s">
        <v>47</v>
      </c>
    </row>
    <row r="2" spans="1:16">
      <c r="I2" s="42" t="s">
        <v>58</v>
      </c>
      <c r="J2" s="43" t="s">
        <v>59</v>
      </c>
    </row>
    <row r="3" spans="1:16">
      <c r="A3" s="44" t="s">
        <v>60</v>
      </c>
      <c r="I3" s="42" t="s">
        <v>61</v>
      </c>
      <c r="J3" s="43" t="s">
        <v>62</v>
      </c>
    </row>
    <row r="4" spans="1:16">
      <c r="I4" s="42" t="s">
        <v>63</v>
      </c>
      <c r="J4" s="43" t="s">
        <v>62</v>
      </c>
    </row>
    <row r="5" spans="1:16" ht="13.5" thickBot="1">
      <c r="I5" s="45" t="s">
        <v>64</v>
      </c>
      <c r="J5" s="46" t="s">
        <v>65</v>
      </c>
    </row>
    <row r="10" spans="1:16" ht="13.5" thickBot="1"/>
    <row r="11" spans="1:16" ht="12.75" customHeight="1" thickBot="1">
      <c r="A11" s="39" t="str">
        <f t="shared" ref="A11:A42" si="0">P11</f>
        <v> BBS 95 </v>
      </c>
      <c r="B11" s="5" t="str">
        <f t="shared" ref="B11:B42" si="1">IF(H11=INT(H11),"I","II")</f>
        <v>I</v>
      </c>
      <c r="C11" s="39">
        <f t="shared" ref="C11:C42" si="2">1*G11</f>
        <v>48013.529000000002</v>
      </c>
      <c r="D11" s="13" t="str">
        <f t="shared" ref="D11:D42" si="3">VLOOKUP(F11,I$1:J$5,2,FALSE)</f>
        <v>vis</v>
      </c>
      <c r="E11" s="47">
        <f>VLOOKUP(C11,Active!C$21:E$967,3,FALSE)</f>
        <v>6091.0022425149918</v>
      </c>
      <c r="F11" s="5" t="s">
        <v>64</v>
      </c>
      <c r="G11" s="13" t="str">
        <f t="shared" ref="G11:G42" si="4">MID(I11,3,LEN(I11)-3)</f>
        <v>48013.529</v>
      </c>
      <c r="H11" s="39">
        <f t="shared" ref="H11:H42" si="5">1*K11</f>
        <v>6091</v>
      </c>
      <c r="I11" s="48" t="s">
        <v>159</v>
      </c>
      <c r="J11" s="49" t="s">
        <v>160</v>
      </c>
      <c r="K11" s="48">
        <v>6091</v>
      </c>
      <c r="L11" s="48" t="s">
        <v>69</v>
      </c>
      <c r="M11" s="49" t="s">
        <v>144</v>
      </c>
      <c r="N11" s="49"/>
      <c r="O11" s="50" t="s">
        <v>161</v>
      </c>
      <c r="P11" s="50" t="s">
        <v>162</v>
      </c>
    </row>
    <row r="12" spans="1:16" ht="12.75" customHeight="1" thickBot="1">
      <c r="A12" s="39" t="str">
        <f t="shared" si="0"/>
        <v> BBS 115 </v>
      </c>
      <c r="B12" s="5" t="str">
        <f t="shared" si="1"/>
        <v>I</v>
      </c>
      <c r="C12" s="39">
        <f t="shared" si="2"/>
        <v>50282.587</v>
      </c>
      <c r="D12" s="13" t="str">
        <f t="shared" si="3"/>
        <v>vis</v>
      </c>
      <c r="E12" s="47">
        <f>VLOOKUP(C12,Active!C$21:E$967,3,FALSE)</f>
        <v>6729.0457009089569</v>
      </c>
      <c r="F12" s="5" t="s">
        <v>64</v>
      </c>
      <c r="G12" s="13" t="str">
        <f t="shared" si="4"/>
        <v>50282.587</v>
      </c>
      <c r="H12" s="39">
        <f t="shared" si="5"/>
        <v>6729</v>
      </c>
      <c r="I12" s="48" t="s">
        <v>168</v>
      </c>
      <c r="J12" s="49" t="s">
        <v>169</v>
      </c>
      <c r="K12" s="48">
        <v>6729</v>
      </c>
      <c r="L12" s="48" t="s">
        <v>170</v>
      </c>
      <c r="M12" s="49" t="s">
        <v>144</v>
      </c>
      <c r="N12" s="49"/>
      <c r="O12" s="50" t="s">
        <v>161</v>
      </c>
      <c r="P12" s="50" t="s">
        <v>171</v>
      </c>
    </row>
    <row r="13" spans="1:16" ht="12.75" customHeight="1" thickBot="1">
      <c r="A13" s="39" t="str">
        <f t="shared" si="0"/>
        <v> BBS 115 </v>
      </c>
      <c r="B13" s="5" t="str">
        <f t="shared" si="1"/>
        <v>I</v>
      </c>
      <c r="C13" s="39">
        <f t="shared" si="2"/>
        <v>50300.411</v>
      </c>
      <c r="D13" s="13" t="str">
        <f t="shared" si="3"/>
        <v>vis</v>
      </c>
      <c r="E13" s="47">
        <f>VLOOKUP(C13,Active!C$21:E$967,3,FALSE)</f>
        <v>6734.0576867649443</v>
      </c>
      <c r="F13" s="5" t="s">
        <v>64</v>
      </c>
      <c r="G13" s="13" t="str">
        <f t="shared" si="4"/>
        <v>50300.411</v>
      </c>
      <c r="H13" s="39">
        <f t="shared" si="5"/>
        <v>6734</v>
      </c>
      <c r="I13" s="48" t="s">
        <v>172</v>
      </c>
      <c r="J13" s="49" t="s">
        <v>173</v>
      </c>
      <c r="K13" s="48">
        <v>6734</v>
      </c>
      <c r="L13" s="48" t="s">
        <v>174</v>
      </c>
      <c r="M13" s="49" t="s">
        <v>144</v>
      </c>
      <c r="N13" s="49"/>
      <c r="O13" s="50" t="s">
        <v>161</v>
      </c>
      <c r="P13" s="50" t="s">
        <v>171</v>
      </c>
    </row>
    <row r="14" spans="1:16" ht="12.75" customHeight="1" thickBot="1">
      <c r="A14" s="39" t="str">
        <f t="shared" si="0"/>
        <v> BBS 115 </v>
      </c>
      <c r="B14" s="5" t="str">
        <f t="shared" si="1"/>
        <v>I</v>
      </c>
      <c r="C14" s="39">
        <f t="shared" si="2"/>
        <v>50364.377999999997</v>
      </c>
      <c r="D14" s="13" t="str">
        <f t="shared" si="3"/>
        <v>vis</v>
      </c>
      <c r="E14" s="47">
        <f>VLOOKUP(C14,Active!C$21:E$967,3,FALSE)</f>
        <v>6752.0447659418905</v>
      </c>
      <c r="F14" s="5" t="s">
        <v>64</v>
      </c>
      <c r="G14" s="13" t="str">
        <f t="shared" si="4"/>
        <v>50364.378</v>
      </c>
      <c r="H14" s="39">
        <f t="shared" si="5"/>
        <v>6752</v>
      </c>
      <c r="I14" s="48" t="s">
        <v>175</v>
      </c>
      <c r="J14" s="49" t="s">
        <v>176</v>
      </c>
      <c r="K14" s="48">
        <v>6752</v>
      </c>
      <c r="L14" s="48" t="s">
        <v>177</v>
      </c>
      <c r="M14" s="49" t="s">
        <v>144</v>
      </c>
      <c r="N14" s="49"/>
      <c r="O14" s="50" t="s">
        <v>161</v>
      </c>
      <c r="P14" s="50" t="s">
        <v>171</v>
      </c>
    </row>
    <row r="15" spans="1:16" ht="12.75" customHeight="1" thickBot="1">
      <c r="A15" s="39" t="str">
        <f t="shared" si="0"/>
        <v>IBVS 4888 </v>
      </c>
      <c r="B15" s="5" t="str">
        <f t="shared" si="1"/>
        <v>I</v>
      </c>
      <c r="C15" s="39">
        <f t="shared" si="2"/>
        <v>51036.578099999999</v>
      </c>
      <c r="D15" s="13" t="str">
        <f t="shared" si="3"/>
        <v>vis</v>
      </c>
      <c r="E15" s="47">
        <f>VLOOKUP(C15,Active!C$21:E$967,3,FALSE)</f>
        <v>6941.0627974495783</v>
      </c>
      <c r="F15" s="5" t="s">
        <v>64</v>
      </c>
      <c r="G15" s="13" t="str">
        <f t="shared" si="4"/>
        <v>51036.5781</v>
      </c>
      <c r="H15" s="39">
        <f t="shared" si="5"/>
        <v>6941</v>
      </c>
      <c r="I15" s="48" t="s">
        <v>178</v>
      </c>
      <c r="J15" s="49" t="s">
        <v>179</v>
      </c>
      <c r="K15" s="48">
        <v>6941</v>
      </c>
      <c r="L15" s="48" t="s">
        <v>180</v>
      </c>
      <c r="M15" s="49" t="s">
        <v>181</v>
      </c>
      <c r="N15" s="49" t="s">
        <v>182</v>
      </c>
      <c r="O15" s="50" t="s">
        <v>183</v>
      </c>
      <c r="P15" s="51" t="s">
        <v>184</v>
      </c>
    </row>
    <row r="16" spans="1:16" ht="12.75" customHeight="1" thickBot="1">
      <c r="A16" s="39" t="str">
        <f t="shared" si="0"/>
        <v>OEJV 0074 </v>
      </c>
      <c r="B16" s="5" t="str">
        <f t="shared" si="1"/>
        <v>I</v>
      </c>
      <c r="C16" s="39">
        <f t="shared" si="2"/>
        <v>51751.432200000003</v>
      </c>
      <c r="D16" s="13" t="str">
        <f t="shared" si="3"/>
        <v>vis</v>
      </c>
      <c r="E16" s="47">
        <f>VLOOKUP(C16,Active!C$21:E$967,3,FALSE)</f>
        <v>7142.0748395441869</v>
      </c>
      <c r="F16" s="5" t="s">
        <v>64</v>
      </c>
      <c r="G16" s="13" t="str">
        <f t="shared" si="4"/>
        <v>51751.43220</v>
      </c>
      <c r="H16" s="39">
        <f t="shared" si="5"/>
        <v>7142</v>
      </c>
      <c r="I16" s="48" t="s">
        <v>185</v>
      </c>
      <c r="J16" s="49" t="s">
        <v>186</v>
      </c>
      <c r="K16" s="48">
        <v>7142</v>
      </c>
      <c r="L16" s="48" t="s">
        <v>187</v>
      </c>
      <c r="M16" s="49" t="s">
        <v>188</v>
      </c>
      <c r="N16" s="49" t="s">
        <v>64</v>
      </c>
      <c r="O16" s="50" t="s">
        <v>189</v>
      </c>
      <c r="P16" s="51" t="s">
        <v>190</v>
      </c>
    </row>
    <row r="17" spans="1:16" ht="12.75" customHeight="1" thickBot="1">
      <c r="A17" s="39" t="str">
        <f t="shared" si="0"/>
        <v>OEJV 0074 </v>
      </c>
      <c r="B17" s="5" t="str">
        <f t="shared" si="1"/>
        <v>I</v>
      </c>
      <c r="C17" s="39">
        <f t="shared" si="2"/>
        <v>52448.501700000001</v>
      </c>
      <c r="D17" s="13" t="str">
        <f t="shared" si="3"/>
        <v>vis</v>
      </c>
      <c r="E17" s="47">
        <f>VLOOKUP(C17,Active!C$21:E$967,3,FALSE)</f>
        <v>7338.085974791039</v>
      </c>
      <c r="F17" s="5" t="s">
        <v>64</v>
      </c>
      <c r="G17" s="13" t="str">
        <f t="shared" si="4"/>
        <v>52448.50170</v>
      </c>
      <c r="H17" s="39">
        <f t="shared" si="5"/>
        <v>7338</v>
      </c>
      <c r="I17" s="48" t="s">
        <v>191</v>
      </c>
      <c r="J17" s="49" t="s">
        <v>192</v>
      </c>
      <c r="K17" s="48">
        <v>7338</v>
      </c>
      <c r="L17" s="48" t="s">
        <v>193</v>
      </c>
      <c r="M17" s="49" t="s">
        <v>188</v>
      </c>
      <c r="N17" s="49" t="s">
        <v>194</v>
      </c>
      <c r="O17" s="50" t="s">
        <v>195</v>
      </c>
      <c r="P17" s="51" t="s">
        <v>190</v>
      </c>
    </row>
    <row r="18" spans="1:16" ht="12.75" customHeight="1" thickBot="1">
      <c r="A18" s="39" t="str">
        <f t="shared" si="0"/>
        <v>BAVM 173 </v>
      </c>
      <c r="B18" s="5" t="str">
        <f t="shared" si="1"/>
        <v>I</v>
      </c>
      <c r="C18" s="39">
        <f t="shared" si="2"/>
        <v>53145.5717</v>
      </c>
      <c r="D18" s="13" t="str">
        <f t="shared" si="3"/>
        <v>vis</v>
      </c>
      <c r="E18" s="47">
        <f>VLOOKUP(C18,Active!C$21:E$967,3,FALSE)</f>
        <v>7534.0972506344424</v>
      </c>
      <c r="F18" s="5" t="s">
        <v>64</v>
      </c>
      <c r="G18" s="13" t="str">
        <f t="shared" si="4"/>
        <v>53145.5717</v>
      </c>
      <c r="H18" s="39">
        <f t="shared" si="5"/>
        <v>7534</v>
      </c>
      <c r="I18" s="48" t="s">
        <v>196</v>
      </c>
      <c r="J18" s="49" t="s">
        <v>197</v>
      </c>
      <c r="K18" s="48">
        <v>7534</v>
      </c>
      <c r="L18" s="48" t="s">
        <v>198</v>
      </c>
      <c r="M18" s="49" t="s">
        <v>181</v>
      </c>
      <c r="N18" s="49" t="s">
        <v>194</v>
      </c>
      <c r="O18" s="50" t="s">
        <v>199</v>
      </c>
      <c r="P18" s="51" t="s">
        <v>200</v>
      </c>
    </row>
    <row r="19" spans="1:16" ht="12.75" customHeight="1" thickBot="1">
      <c r="A19" s="39" t="str">
        <f t="shared" si="0"/>
        <v>OEJV 0074 </v>
      </c>
      <c r="B19" s="5" t="str">
        <f t="shared" si="1"/>
        <v>I</v>
      </c>
      <c r="C19" s="39">
        <f t="shared" si="2"/>
        <v>53636.369939999997</v>
      </c>
      <c r="D19" s="13" t="str">
        <f t="shared" si="3"/>
        <v>vis</v>
      </c>
      <c r="E19" s="47">
        <f>VLOOKUP(C19,Active!C$21:E$967,3,FALSE)</f>
        <v>7672.1063303597157</v>
      </c>
      <c r="F19" s="5" t="s">
        <v>64</v>
      </c>
      <c r="G19" s="13" t="str">
        <f t="shared" si="4"/>
        <v>53636.36994</v>
      </c>
      <c r="H19" s="39">
        <f t="shared" si="5"/>
        <v>7672</v>
      </c>
      <c r="I19" s="48" t="s">
        <v>201</v>
      </c>
      <c r="J19" s="49" t="s">
        <v>202</v>
      </c>
      <c r="K19" s="48">
        <v>7672</v>
      </c>
      <c r="L19" s="48" t="s">
        <v>203</v>
      </c>
      <c r="M19" s="49" t="s">
        <v>188</v>
      </c>
      <c r="N19" s="49" t="s">
        <v>204</v>
      </c>
      <c r="O19" s="50" t="s">
        <v>205</v>
      </c>
      <c r="P19" s="51" t="s">
        <v>190</v>
      </c>
    </row>
    <row r="20" spans="1:16" ht="12.75" customHeight="1" thickBot="1">
      <c r="A20" s="39" t="str">
        <f t="shared" si="0"/>
        <v>BAVM 183 </v>
      </c>
      <c r="B20" s="5" t="str">
        <f t="shared" si="1"/>
        <v>I</v>
      </c>
      <c r="C20" s="39">
        <f t="shared" si="2"/>
        <v>53867.547100000003</v>
      </c>
      <c r="D20" s="13" t="str">
        <f t="shared" si="3"/>
        <v>vis</v>
      </c>
      <c r="E20" s="47">
        <f>VLOOKUP(C20,Active!C$21:E$967,3,FALSE)</f>
        <v>7737.1117531686959</v>
      </c>
      <c r="F20" s="5" t="s">
        <v>64</v>
      </c>
      <c r="G20" s="13" t="str">
        <f t="shared" si="4"/>
        <v>53867.5471</v>
      </c>
      <c r="H20" s="39">
        <f t="shared" si="5"/>
        <v>7737</v>
      </c>
      <c r="I20" s="48" t="s">
        <v>206</v>
      </c>
      <c r="J20" s="49" t="s">
        <v>207</v>
      </c>
      <c r="K20" s="48">
        <v>7737</v>
      </c>
      <c r="L20" s="48" t="s">
        <v>208</v>
      </c>
      <c r="M20" s="49" t="s">
        <v>188</v>
      </c>
      <c r="N20" s="49" t="s">
        <v>194</v>
      </c>
      <c r="O20" s="50" t="s">
        <v>209</v>
      </c>
      <c r="P20" s="51" t="s">
        <v>210</v>
      </c>
    </row>
    <row r="21" spans="1:16" ht="12.75" customHeight="1" thickBot="1">
      <c r="A21" s="39" t="str">
        <f t="shared" si="0"/>
        <v>BAVM 183 </v>
      </c>
      <c r="B21" s="5" t="str">
        <f t="shared" si="1"/>
        <v>I</v>
      </c>
      <c r="C21" s="39">
        <f t="shared" si="2"/>
        <v>54020.480100000001</v>
      </c>
      <c r="D21" s="13" t="str">
        <f t="shared" si="3"/>
        <v>vis</v>
      </c>
      <c r="E21" s="47">
        <f>VLOOKUP(C21,Active!C$21:E$967,3,FALSE)</f>
        <v>7780.1154578878186</v>
      </c>
      <c r="F21" s="5" t="s">
        <v>64</v>
      </c>
      <c r="G21" s="13" t="str">
        <f t="shared" si="4"/>
        <v>54020.4801</v>
      </c>
      <c r="H21" s="39">
        <f t="shared" si="5"/>
        <v>7780</v>
      </c>
      <c r="I21" s="48" t="s">
        <v>211</v>
      </c>
      <c r="J21" s="49" t="s">
        <v>212</v>
      </c>
      <c r="K21" s="48">
        <v>7780</v>
      </c>
      <c r="L21" s="48" t="s">
        <v>213</v>
      </c>
      <c r="M21" s="49" t="s">
        <v>188</v>
      </c>
      <c r="N21" s="49" t="s">
        <v>214</v>
      </c>
      <c r="O21" s="50" t="s">
        <v>215</v>
      </c>
      <c r="P21" s="51" t="s">
        <v>210</v>
      </c>
    </row>
    <row r="22" spans="1:16" ht="12.75" customHeight="1" thickBot="1">
      <c r="A22" s="39" t="str">
        <f t="shared" si="0"/>
        <v>BAVM 201 </v>
      </c>
      <c r="B22" s="5" t="str">
        <f t="shared" si="1"/>
        <v>I</v>
      </c>
      <c r="C22" s="39">
        <f t="shared" si="2"/>
        <v>54390.359799999998</v>
      </c>
      <c r="D22" s="13" t="str">
        <f t="shared" si="3"/>
        <v>vis</v>
      </c>
      <c r="E22" s="47">
        <f>VLOOKUP(C22,Active!C$21:E$967,3,FALSE)</f>
        <v>7884.1230782208913</v>
      </c>
      <c r="F22" s="5" t="s">
        <v>64</v>
      </c>
      <c r="G22" s="13" t="str">
        <f t="shared" si="4"/>
        <v>54390.3598</v>
      </c>
      <c r="H22" s="39">
        <f t="shared" si="5"/>
        <v>7884</v>
      </c>
      <c r="I22" s="48" t="s">
        <v>222</v>
      </c>
      <c r="J22" s="49" t="s">
        <v>223</v>
      </c>
      <c r="K22" s="48" t="s">
        <v>224</v>
      </c>
      <c r="L22" s="48" t="s">
        <v>225</v>
      </c>
      <c r="M22" s="49" t="s">
        <v>188</v>
      </c>
      <c r="N22" s="49" t="s">
        <v>194</v>
      </c>
      <c r="O22" s="50" t="s">
        <v>226</v>
      </c>
      <c r="P22" s="51" t="s">
        <v>227</v>
      </c>
    </row>
    <row r="23" spans="1:16" ht="12.75" customHeight="1" thickBot="1">
      <c r="A23" s="39" t="str">
        <f t="shared" si="0"/>
        <v>BAVM 214 </v>
      </c>
      <c r="B23" s="5" t="str">
        <f t="shared" si="1"/>
        <v>I</v>
      </c>
      <c r="C23" s="39">
        <f t="shared" si="2"/>
        <v>55062.547200000001</v>
      </c>
      <c r="D23" s="13" t="str">
        <f t="shared" si="3"/>
        <v>vis</v>
      </c>
      <c r="E23" s="47">
        <f>VLOOKUP(C23,Active!C$21:E$967,3,FALSE)</f>
        <v>8073.1375385761794</v>
      </c>
      <c r="F23" s="5" t="s">
        <v>64</v>
      </c>
      <c r="G23" s="13" t="str">
        <f t="shared" si="4"/>
        <v>55062.5472</v>
      </c>
      <c r="H23" s="39">
        <f t="shared" si="5"/>
        <v>8073</v>
      </c>
      <c r="I23" s="48" t="s">
        <v>237</v>
      </c>
      <c r="J23" s="49" t="s">
        <v>238</v>
      </c>
      <c r="K23" s="48" t="s">
        <v>239</v>
      </c>
      <c r="L23" s="48" t="s">
        <v>240</v>
      </c>
      <c r="M23" s="49" t="s">
        <v>188</v>
      </c>
      <c r="N23" s="49" t="s">
        <v>214</v>
      </c>
      <c r="O23" s="50" t="s">
        <v>241</v>
      </c>
      <c r="P23" s="51" t="s">
        <v>242</v>
      </c>
    </row>
    <row r="24" spans="1:16" ht="12.75" customHeight="1" thickBot="1">
      <c r="A24" s="39" t="str">
        <f t="shared" si="0"/>
        <v>OEJV 0160 </v>
      </c>
      <c r="B24" s="5" t="str">
        <f t="shared" si="1"/>
        <v>I</v>
      </c>
      <c r="C24" s="39">
        <f t="shared" si="2"/>
        <v>56193.516810000001</v>
      </c>
      <c r="D24" s="13" t="str">
        <f t="shared" si="3"/>
        <v>vis</v>
      </c>
      <c r="E24" s="47">
        <f>VLOOKUP(C24,Active!C$21:E$967,3,FALSE)</f>
        <v>8391.1583918566484</v>
      </c>
      <c r="F24" s="5" t="s">
        <v>64</v>
      </c>
      <c r="G24" s="13" t="str">
        <f t="shared" si="4"/>
        <v>56193.51681</v>
      </c>
      <c r="H24" s="39">
        <f t="shared" si="5"/>
        <v>8391</v>
      </c>
      <c r="I24" s="48" t="s">
        <v>256</v>
      </c>
      <c r="J24" s="49" t="s">
        <v>257</v>
      </c>
      <c r="K24" s="48" t="s">
        <v>258</v>
      </c>
      <c r="L24" s="48" t="s">
        <v>259</v>
      </c>
      <c r="M24" s="49" t="s">
        <v>188</v>
      </c>
      <c r="N24" s="49" t="s">
        <v>204</v>
      </c>
      <c r="O24" s="50" t="s">
        <v>247</v>
      </c>
      <c r="P24" s="51" t="s">
        <v>260</v>
      </c>
    </row>
    <row r="25" spans="1:16" ht="12.75" customHeight="1" thickBot="1">
      <c r="A25" s="39" t="str">
        <f t="shared" si="0"/>
        <v>OEJV 0160 </v>
      </c>
      <c r="B25" s="5" t="str">
        <f t="shared" si="1"/>
        <v>I</v>
      </c>
      <c r="C25" s="39">
        <f t="shared" si="2"/>
        <v>56193.517010000003</v>
      </c>
      <c r="D25" s="13" t="str">
        <f t="shared" si="3"/>
        <v>vis</v>
      </c>
      <c r="E25" s="47">
        <f>VLOOKUP(C25,Active!C$21:E$967,3,FALSE)</f>
        <v>8391.1584480952697</v>
      </c>
      <c r="F25" s="5" t="s">
        <v>64</v>
      </c>
      <c r="G25" s="13" t="str">
        <f t="shared" si="4"/>
        <v>56193.51701</v>
      </c>
      <c r="H25" s="39">
        <f t="shared" si="5"/>
        <v>8391</v>
      </c>
      <c r="I25" s="48" t="s">
        <v>261</v>
      </c>
      <c r="J25" s="49" t="s">
        <v>257</v>
      </c>
      <c r="K25" s="48" t="s">
        <v>258</v>
      </c>
      <c r="L25" s="48" t="s">
        <v>262</v>
      </c>
      <c r="M25" s="49" t="s">
        <v>188</v>
      </c>
      <c r="N25" s="49" t="s">
        <v>42</v>
      </c>
      <c r="O25" s="50" t="s">
        <v>247</v>
      </c>
      <c r="P25" s="51" t="s">
        <v>260</v>
      </c>
    </row>
    <row r="26" spans="1:16" ht="12.75" customHeight="1" thickBot="1">
      <c r="A26" s="39" t="str">
        <f t="shared" si="0"/>
        <v>OEJV 0160 </v>
      </c>
      <c r="B26" s="5" t="str">
        <f t="shared" si="1"/>
        <v>I</v>
      </c>
      <c r="C26" s="39">
        <f t="shared" si="2"/>
        <v>56193.517209999998</v>
      </c>
      <c r="D26" s="13" t="str">
        <f t="shared" si="3"/>
        <v>vis</v>
      </c>
      <c r="E26" s="47">
        <f>VLOOKUP(C26,Active!C$21:E$967,3,FALSE)</f>
        <v>8391.1585043338891</v>
      </c>
      <c r="F26" s="5" t="s">
        <v>64</v>
      </c>
      <c r="G26" s="13" t="str">
        <f t="shared" si="4"/>
        <v>56193.51721</v>
      </c>
      <c r="H26" s="39">
        <f t="shared" si="5"/>
        <v>8391</v>
      </c>
      <c r="I26" s="48" t="s">
        <v>263</v>
      </c>
      <c r="J26" s="49" t="s">
        <v>257</v>
      </c>
      <c r="K26" s="48" t="s">
        <v>258</v>
      </c>
      <c r="L26" s="48" t="s">
        <v>264</v>
      </c>
      <c r="M26" s="49" t="s">
        <v>188</v>
      </c>
      <c r="N26" s="49" t="s">
        <v>64</v>
      </c>
      <c r="O26" s="50" t="s">
        <v>247</v>
      </c>
      <c r="P26" s="51" t="s">
        <v>260</v>
      </c>
    </row>
    <row r="27" spans="1:16" ht="12.75" customHeight="1" thickBot="1">
      <c r="A27" s="39" t="str">
        <f t="shared" si="0"/>
        <v> AN 235.86 </v>
      </c>
      <c r="B27" s="5" t="str">
        <f t="shared" si="1"/>
        <v>I</v>
      </c>
      <c r="C27" s="39">
        <f t="shared" si="2"/>
        <v>25591.215</v>
      </c>
      <c r="D27" s="13" t="str">
        <f t="shared" si="3"/>
        <v>vis</v>
      </c>
      <c r="E27" s="47">
        <f>VLOOKUP(C27,Active!C$21:E$967,3,FALSE)</f>
        <v>-213.99779263414666</v>
      </c>
      <c r="F27" s="5" t="s">
        <v>64</v>
      </c>
      <c r="G27" s="13" t="str">
        <f t="shared" si="4"/>
        <v>25591.215</v>
      </c>
      <c r="H27" s="39">
        <f t="shared" si="5"/>
        <v>-214</v>
      </c>
      <c r="I27" s="48" t="s">
        <v>67</v>
      </c>
      <c r="J27" s="49" t="s">
        <v>68</v>
      </c>
      <c r="K27" s="48">
        <v>-214</v>
      </c>
      <c r="L27" s="48" t="s">
        <v>69</v>
      </c>
      <c r="M27" s="49" t="s">
        <v>70</v>
      </c>
      <c r="N27" s="49"/>
      <c r="O27" s="50" t="s">
        <v>71</v>
      </c>
      <c r="P27" s="50" t="s">
        <v>72</v>
      </c>
    </row>
    <row r="28" spans="1:16" ht="12.75" customHeight="1" thickBot="1">
      <c r="A28" s="39" t="str">
        <f t="shared" si="0"/>
        <v>IBVS 32 </v>
      </c>
      <c r="B28" s="5" t="str">
        <f t="shared" si="1"/>
        <v>I</v>
      </c>
      <c r="C28" s="39">
        <f t="shared" si="2"/>
        <v>26352.231</v>
      </c>
      <c r="D28" s="13" t="str">
        <f t="shared" si="3"/>
        <v>vis</v>
      </c>
      <c r="E28" s="47">
        <f>VLOOKUP(C28,Active!C$21:E$967,3,FALSE)</f>
        <v>-5.3426689443962661E-3</v>
      </c>
      <c r="F28" s="5" t="s">
        <v>64</v>
      </c>
      <c r="G28" s="13" t="str">
        <f t="shared" si="4"/>
        <v>26352.231</v>
      </c>
      <c r="H28" s="39">
        <f t="shared" si="5"/>
        <v>0</v>
      </c>
      <c r="I28" s="48" t="s">
        <v>73</v>
      </c>
      <c r="J28" s="49" t="s">
        <v>74</v>
      </c>
      <c r="K28" s="48">
        <v>0</v>
      </c>
      <c r="L28" s="48" t="s">
        <v>75</v>
      </c>
      <c r="M28" s="49" t="s">
        <v>70</v>
      </c>
      <c r="N28" s="49"/>
      <c r="O28" s="50" t="s">
        <v>76</v>
      </c>
      <c r="P28" s="51" t="s">
        <v>77</v>
      </c>
    </row>
    <row r="29" spans="1:16" ht="12.75" customHeight="1" thickBot="1">
      <c r="A29" s="39" t="str">
        <f t="shared" si="0"/>
        <v>IBVS 32 </v>
      </c>
      <c r="B29" s="5" t="str">
        <f t="shared" si="1"/>
        <v>I</v>
      </c>
      <c r="C29" s="39">
        <f t="shared" si="2"/>
        <v>26928.365000000002</v>
      </c>
      <c r="D29" s="13" t="str">
        <f t="shared" si="3"/>
        <v>vis</v>
      </c>
      <c r="E29" s="47">
        <f>VLOOKUP(C29,Active!C$21:E$967,3,FALSE)</f>
        <v>161.99956415069184</v>
      </c>
      <c r="F29" s="5" t="s">
        <v>64</v>
      </c>
      <c r="G29" s="13" t="str">
        <f t="shared" si="4"/>
        <v>26928.365</v>
      </c>
      <c r="H29" s="39">
        <f t="shared" si="5"/>
        <v>162</v>
      </c>
      <c r="I29" s="48" t="s">
        <v>78</v>
      </c>
      <c r="J29" s="49" t="s">
        <v>79</v>
      </c>
      <c r="K29" s="48">
        <v>162</v>
      </c>
      <c r="L29" s="48" t="s">
        <v>80</v>
      </c>
      <c r="M29" s="49" t="s">
        <v>70</v>
      </c>
      <c r="N29" s="49"/>
      <c r="O29" s="50" t="s">
        <v>76</v>
      </c>
      <c r="P29" s="51" t="s">
        <v>77</v>
      </c>
    </row>
    <row r="30" spans="1:16" ht="12.75" customHeight="1" thickBot="1">
      <c r="A30" s="39" t="str">
        <f t="shared" si="0"/>
        <v>IBVS 32 </v>
      </c>
      <c r="B30" s="5" t="str">
        <f t="shared" si="1"/>
        <v>I</v>
      </c>
      <c r="C30" s="39">
        <f t="shared" si="2"/>
        <v>26928.38</v>
      </c>
      <c r="D30" s="13" t="str">
        <f t="shared" si="3"/>
        <v>vis</v>
      </c>
      <c r="E30" s="47">
        <f>VLOOKUP(C30,Active!C$21:E$967,3,FALSE)</f>
        <v>162.00378204722668</v>
      </c>
      <c r="F30" s="5" t="s">
        <v>64</v>
      </c>
      <c r="G30" s="13" t="str">
        <f t="shared" si="4"/>
        <v>26928.380</v>
      </c>
      <c r="H30" s="39">
        <f t="shared" si="5"/>
        <v>162</v>
      </c>
      <c r="I30" s="48" t="s">
        <v>81</v>
      </c>
      <c r="J30" s="49" t="s">
        <v>82</v>
      </c>
      <c r="K30" s="48">
        <v>162</v>
      </c>
      <c r="L30" s="48" t="s">
        <v>83</v>
      </c>
      <c r="M30" s="49" t="s">
        <v>70</v>
      </c>
      <c r="N30" s="49"/>
      <c r="O30" s="50" t="s">
        <v>76</v>
      </c>
      <c r="P30" s="51" t="s">
        <v>77</v>
      </c>
    </row>
    <row r="31" spans="1:16" ht="12.75" customHeight="1" thickBot="1">
      <c r="A31" s="39" t="str">
        <f t="shared" si="0"/>
        <v>IBVS 32 </v>
      </c>
      <c r="B31" s="5" t="str">
        <f t="shared" si="1"/>
        <v>I</v>
      </c>
      <c r="C31" s="39">
        <f t="shared" si="2"/>
        <v>26942.407999999999</v>
      </c>
      <c r="D31" s="13" t="str">
        <f t="shared" si="3"/>
        <v>vis</v>
      </c>
      <c r="E31" s="47">
        <f>VLOOKUP(C31,Active!C$21:E$967,3,FALSE)</f>
        <v>165.94835888675635</v>
      </c>
      <c r="F31" s="5" t="s">
        <v>64</v>
      </c>
      <c r="G31" s="13" t="str">
        <f t="shared" si="4"/>
        <v>26942.408</v>
      </c>
      <c r="H31" s="39">
        <f t="shared" si="5"/>
        <v>166</v>
      </c>
      <c r="I31" s="48" t="s">
        <v>84</v>
      </c>
      <c r="J31" s="49" t="s">
        <v>85</v>
      </c>
      <c r="K31" s="48">
        <v>166</v>
      </c>
      <c r="L31" s="48" t="s">
        <v>86</v>
      </c>
      <c r="M31" s="49" t="s">
        <v>70</v>
      </c>
      <c r="N31" s="49"/>
      <c r="O31" s="50" t="s">
        <v>76</v>
      </c>
      <c r="P31" s="51" t="s">
        <v>77</v>
      </c>
    </row>
    <row r="32" spans="1:16" ht="12.75" customHeight="1" thickBot="1">
      <c r="A32" s="39" t="str">
        <f t="shared" si="0"/>
        <v>IBVS 32 </v>
      </c>
      <c r="B32" s="5" t="str">
        <f t="shared" si="1"/>
        <v>I</v>
      </c>
      <c r="C32" s="39">
        <f t="shared" si="2"/>
        <v>26985.269</v>
      </c>
      <c r="D32" s="13" t="str">
        <f t="shared" si="3"/>
        <v>vis</v>
      </c>
      <c r="E32" s="47">
        <f>VLOOKUP(C32,Active!C$21:E$967,3,FALSE)</f>
        <v>178.00057644585985</v>
      </c>
      <c r="F32" s="5" t="s">
        <v>64</v>
      </c>
      <c r="G32" s="13" t="str">
        <f t="shared" si="4"/>
        <v>26985.269</v>
      </c>
      <c r="H32" s="39">
        <f t="shared" si="5"/>
        <v>178</v>
      </c>
      <c r="I32" s="48" t="s">
        <v>87</v>
      </c>
      <c r="J32" s="49" t="s">
        <v>88</v>
      </c>
      <c r="K32" s="48">
        <v>178</v>
      </c>
      <c r="L32" s="48" t="s">
        <v>89</v>
      </c>
      <c r="M32" s="49" t="s">
        <v>70</v>
      </c>
      <c r="N32" s="49"/>
      <c r="O32" s="50" t="s">
        <v>76</v>
      </c>
      <c r="P32" s="51" t="s">
        <v>77</v>
      </c>
    </row>
    <row r="33" spans="1:16" ht="12.75" customHeight="1" thickBot="1">
      <c r="A33" s="39" t="str">
        <f t="shared" si="0"/>
        <v>IBVS 32 </v>
      </c>
      <c r="B33" s="5" t="str">
        <f t="shared" si="1"/>
        <v>I</v>
      </c>
      <c r="C33" s="39">
        <f t="shared" si="2"/>
        <v>26985.29</v>
      </c>
      <c r="D33" s="13" t="str">
        <f t="shared" si="3"/>
        <v>vis</v>
      </c>
      <c r="E33" s="47">
        <f>VLOOKUP(C33,Active!C$21:E$967,3,FALSE)</f>
        <v>178.00648150100903</v>
      </c>
      <c r="F33" s="5" t="s">
        <v>64</v>
      </c>
      <c r="G33" s="13" t="str">
        <f t="shared" si="4"/>
        <v>26985.290</v>
      </c>
      <c r="H33" s="39">
        <f t="shared" si="5"/>
        <v>178</v>
      </c>
      <c r="I33" s="48" t="s">
        <v>90</v>
      </c>
      <c r="J33" s="49" t="s">
        <v>91</v>
      </c>
      <c r="K33" s="48">
        <v>178</v>
      </c>
      <c r="L33" s="48" t="s">
        <v>92</v>
      </c>
      <c r="M33" s="49" t="s">
        <v>70</v>
      </c>
      <c r="N33" s="49"/>
      <c r="O33" s="50" t="s">
        <v>76</v>
      </c>
      <c r="P33" s="51" t="s">
        <v>77</v>
      </c>
    </row>
    <row r="34" spans="1:16" ht="12.75" customHeight="1" thickBot="1">
      <c r="A34" s="39" t="str">
        <f t="shared" si="0"/>
        <v>IBVS 32 </v>
      </c>
      <c r="B34" s="5" t="str">
        <f t="shared" si="1"/>
        <v>I</v>
      </c>
      <c r="C34" s="39">
        <f t="shared" si="2"/>
        <v>27625.406999999999</v>
      </c>
      <c r="D34" s="13" t="str">
        <f t="shared" si="3"/>
        <v>vis</v>
      </c>
      <c r="E34" s="47">
        <f>VLOOKUP(C34,Active!C$21:E$967,3,FALSE)</f>
        <v>358.00296658722942</v>
      </c>
      <c r="F34" s="5" t="s">
        <v>64</v>
      </c>
      <c r="G34" s="13" t="str">
        <f t="shared" si="4"/>
        <v>27625.407</v>
      </c>
      <c r="H34" s="39">
        <f t="shared" si="5"/>
        <v>358</v>
      </c>
      <c r="I34" s="48" t="s">
        <v>93</v>
      </c>
      <c r="J34" s="49" t="s">
        <v>94</v>
      </c>
      <c r="K34" s="48">
        <v>358</v>
      </c>
      <c r="L34" s="48" t="s">
        <v>95</v>
      </c>
      <c r="M34" s="49" t="s">
        <v>70</v>
      </c>
      <c r="N34" s="49"/>
      <c r="O34" s="50" t="s">
        <v>76</v>
      </c>
      <c r="P34" s="51" t="s">
        <v>77</v>
      </c>
    </row>
    <row r="35" spans="1:16" ht="12.75" customHeight="1" thickBot="1">
      <c r="A35" s="39" t="str">
        <f t="shared" si="0"/>
        <v> JO 46.107 </v>
      </c>
      <c r="B35" s="5" t="str">
        <f t="shared" si="1"/>
        <v>I</v>
      </c>
      <c r="C35" s="39">
        <f t="shared" si="2"/>
        <v>36761.46</v>
      </c>
      <c r="D35" s="13" t="str">
        <f t="shared" si="3"/>
        <v>vis</v>
      </c>
      <c r="E35" s="47">
        <f>VLOOKUP(C35,Active!C$21:E$967,3,FALSE)</f>
        <v>2926.9980527377661</v>
      </c>
      <c r="F35" s="5" t="s">
        <v>64</v>
      </c>
      <c r="G35" s="13" t="str">
        <f t="shared" si="4"/>
        <v>36761.460</v>
      </c>
      <c r="H35" s="39">
        <f t="shared" si="5"/>
        <v>2927</v>
      </c>
      <c r="I35" s="48" t="s">
        <v>96</v>
      </c>
      <c r="J35" s="49" t="s">
        <v>97</v>
      </c>
      <c r="K35" s="48">
        <v>2927</v>
      </c>
      <c r="L35" s="48" t="s">
        <v>98</v>
      </c>
      <c r="M35" s="49" t="s">
        <v>70</v>
      </c>
      <c r="N35" s="49"/>
      <c r="O35" s="50" t="s">
        <v>99</v>
      </c>
      <c r="P35" s="50" t="s">
        <v>100</v>
      </c>
    </row>
    <row r="36" spans="1:16" ht="12.75" customHeight="1" thickBot="1">
      <c r="A36" s="39" t="str">
        <f t="shared" si="0"/>
        <v> JO 46.107 </v>
      </c>
      <c r="B36" s="5" t="str">
        <f t="shared" si="1"/>
        <v>I</v>
      </c>
      <c r="C36" s="39">
        <f t="shared" si="2"/>
        <v>36786.427000000003</v>
      </c>
      <c r="D36" s="13" t="str">
        <f t="shared" si="3"/>
        <v>vis</v>
      </c>
      <c r="E36" s="47">
        <f>VLOOKUP(C36,Active!C$21:E$967,3,FALSE)</f>
        <v>2934.0186009237204</v>
      </c>
      <c r="F36" s="5" t="s">
        <v>64</v>
      </c>
      <c r="G36" s="13" t="str">
        <f t="shared" si="4"/>
        <v>36786.427</v>
      </c>
      <c r="H36" s="39">
        <f t="shared" si="5"/>
        <v>2934</v>
      </c>
      <c r="I36" s="48" t="s">
        <v>101</v>
      </c>
      <c r="J36" s="49" t="s">
        <v>102</v>
      </c>
      <c r="K36" s="48">
        <v>2934</v>
      </c>
      <c r="L36" s="48" t="s">
        <v>103</v>
      </c>
      <c r="M36" s="49" t="s">
        <v>70</v>
      </c>
      <c r="N36" s="49"/>
      <c r="O36" s="50" t="s">
        <v>99</v>
      </c>
      <c r="P36" s="50" t="s">
        <v>100</v>
      </c>
    </row>
    <row r="37" spans="1:16" ht="12.75" customHeight="1" thickBot="1">
      <c r="A37" s="39" t="str">
        <f t="shared" si="0"/>
        <v> JO 46.107 </v>
      </c>
      <c r="B37" s="5" t="str">
        <f t="shared" si="1"/>
        <v>I</v>
      </c>
      <c r="C37" s="39">
        <f t="shared" si="2"/>
        <v>36811.389000000003</v>
      </c>
      <c r="D37" s="13" t="str">
        <f t="shared" si="3"/>
        <v>vis</v>
      </c>
      <c r="E37" s="47">
        <f>VLOOKUP(C37,Active!C$21:E$967,3,FALSE)</f>
        <v>2941.0377431441616</v>
      </c>
      <c r="F37" s="5" t="s">
        <v>64</v>
      </c>
      <c r="G37" s="13" t="str">
        <f t="shared" si="4"/>
        <v>36811.389</v>
      </c>
      <c r="H37" s="39">
        <f t="shared" si="5"/>
        <v>2941</v>
      </c>
      <c r="I37" s="48" t="s">
        <v>104</v>
      </c>
      <c r="J37" s="49" t="s">
        <v>105</v>
      </c>
      <c r="K37" s="48">
        <v>2941</v>
      </c>
      <c r="L37" s="48" t="s">
        <v>106</v>
      </c>
      <c r="M37" s="49" t="s">
        <v>70</v>
      </c>
      <c r="N37" s="49"/>
      <c r="O37" s="50" t="s">
        <v>99</v>
      </c>
      <c r="P37" s="50" t="s">
        <v>100</v>
      </c>
    </row>
    <row r="38" spans="1:16" ht="12.75" customHeight="1" thickBot="1">
      <c r="A38" s="39" t="str">
        <f t="shared" si="0"/>
        <v>IBVS 32 </v>
      </c>
      <c r="B38" s="5" t="str">
        <f t="shared" si="1"/>
        <v>I</v>
      </c>
      <c r="C38" s="39">
        <f t="shared" si="2"/>
        <v>36818.332999999999</v>
      </c>
      <c r="D38" s="13" t="str">
        <f t="shared" si="3"/>
        <v>vis</v>
      </c>
      <c r="E38" s="47">
        <f>VLOOKUP(C38,Active!C$21:E$967,3,FALSE)</f>
        <v>2942.9903480467624</v>
      </c>
      <c r="F38" s="5" t="s">
        <v>64</v>
      </c>
      <c r="G38" s="13" t="str">
        <f t="shared" si="4"/>
        <v>36818.333</v>
      </c>
      <c r="H38" s="39">
        <f t="shared" si="5"/>
        <v>2943</v>
      </c>
      <c r="I38" s="48" t="s">
        <v>107</v>
      </c>
      <c r="J38" s="49" t="s">
        <v>108</v>
      </c>
      <c r="K38" s="48">
        <v>2943</v>
      </c>
      <c r="L38" s="48" t="s">
        <v>109</v>
      </c>
      <c r="M38" s="49" t="s">
        <v>70</v>
      </c>
      <c r="N38" s="49"/>
      <c r="O38" s="50" t="s">
        <v>76</v>
      </c>
      <c r="P38" s="51" t="s">
        <v>77</v>
      </c>
    </row>
    <row r="39" spans="1:16" ht="12.75" customHeight="1" thickBot="1">
      <c r="A39" s="39" t="str">
        <f t="shared" si="0"/>
        <v> HABZ 38 </v>
      </c>
      <c r="B39" s="5" t="str">
        <f t="shared" si="1"/>
        <v>I</v>
      </c>
      <c r="C39" s="39">
        <f t="shared" si="2"/>
        <v>36818.410000000003</v>
      </c>
      <c r="D39" s="13" t="str">
        <f t="shared" si="3"/>
        <v>vis</v>
      </c>
      <c r="E39" s="47">
        <f>VLOOKUP(C39,Active!C$21:E$967,3,FALSE)</f>
        <v>2943.0119999156432</v>
      </c>
      <c r="F39" s="5" t="s">
        <v>64</v>
      </c>
      <c r="G39" s="13" t="str">
        <f t="shared" si="4"/>
        <v>36818.410</v>
      </c>
      <c r="H39" s="39">
        <f t="shared" si="5"/>
        <v>2943</v>
      </c>
      <c r="I39" s="48" t="s">
        <v>110</v>
      </c>
      <c r="J39" s="49" t="s">
        <v>111</v>
      </c>
      <c r="K39" s="48">
        <v>2943</v>
      </c>
      <c r="L39" s="48" t="s">
        <v>112</v>
      </c>
      <c r="M39" s="49" t="s">
        <v>70</v>
      </c>
      <c r="N39" s="49"/>
      <c r="O39" s="50" t="s">
        <v>113</v>
      </c>
      <c r="P39" s="50" t="s">
        <v>114</v>
      </c>
    </row>
    <row r="40" spans="1:16" ht="12.75" customHeight="1" thickBot="1">
      <c r="A40" s="39" t="str">
        <f t="shared" si="0"/>
        <v>IBVS 32 </v>
      </c>
      <c r="B40" s="5" t="str">
        <f t="shared" si="1"/>
        <v>I</v>
      </c>
      <c r="C40" s="39">
        <f t="shared" si="2"/>
        <v>36843.288</v>
      </c>
      <c r="D40" s="13" t="str">
        <f t="shared" si="3"/>
        <v>vis</v>
      </c>
      <c r="E40" s="47">
        <f>VLOOKUP(C40,Active!C$21:E$967,3,FALSE)</f>
        <v>2950.0075219154878</v>
      </c>
      <c r="F40" s="5" t="s">
        <v>64</v>
      </c>
      <c r="G40" s="13" t="str">
        <f t="shared" si="4"/>
        <v>36843.288</v>
      </c>
      <c r="H40" s="39">
        <f t="shared" si="5"/>
        <v>2950</v>
      </c>
      <c r="I40" s="48" t="s">
        <v>115</v>
      </c>
      <c r="J40" s="49" t="s">
        <v>116</v>
      </c>
      <c r="K40" s="48">
        <v>2950</v>
      </c>
      <c r="L40" s="48" t="s">
        <v>117</v>
      </c>
      <c r="M40" s="49" t="s">
        <v>70</v>
      </c>
      <c r="N40" s="49"/>
      <c r="O40" s="50" t="s">
        <v>76</v>
      </c>
      <c r="P40" s="51" t="s">
        <v>77</v>
      </c>
    </row>
    <row r="41" spans="1:16" ht="12.75" customHeight="1" thickBot="1">
      <c r="A41" s="39" t="str">
        <f t="shared" si="0"/>
        <v>IBVS 32 </v>
      </c>
      <c r="B41" s="5" t="str">
        <f t="shared" si="1"/>
        <v>I</v>
      </c>
      <c r="C41" s="39">
        <f t="shared" si="2"/>
        <v>37188.322</v>
      </c>
      <c r="D41" s="13" t="str">
        <f t="shared" si="3"/>
        <v>vis</v>
      </c>
      <c r="E41" s="47">
        <f>VLOOKUP(C41,Active!C$21:E$967,3,FALSE)</f>
        <v>3047.0287027859208</v>
      </c>
      <c r="F41" s="5" t="s">
        <v>64</v>
      </c>
      <c r="G41" s="13" t="str">
        <f t="shared" si="4"/>
        <v>37188.322</v>
      </c>
      <c r="H41" s="39">
        <f t="shared" si="5"/>
        <v>3047</v>
      </c>
      <c r="I41" s="48" t="s">
        <v>118</v>
      </c>
      <c r="J41" s="49" t="s">
        <v>119</v>
      </c>
      <c r="K41" s="48">
        <v>3047</v>
      </c>
      <c r="L41" s="48" t="s">
        <v>120</v>
      </c>
      <c r="M41" s="49" t="s">
        <v>70</v>
      </c>
      <c r="N41" s="49"/>
      <c r="O41" s="50" t="s">
        <v>76</v>
      </c>
      <c r="P41" s="51" t="s">
        <v>77</v>
      </c>
    </row>
    <row r="42" spans="1:16" ht="12.75" customHeight="1" thickBot="1">
      <c r="A42" s="39" t="str">
        <f t="shared" si="0"/>
        <v>IBVS 32 </v>
      </c>
      <c r="B42" s="5" t="str">
        <f t="shared" si="1"/>
        <v>I</v>
      </c>
      <c r="C42" s="39">
        <f t="shared" si="2"/>
        <v>37188.368000000002</v>
      </c>
      <c r="D42" s="13" t="str">
        <f t="shared" si="3"/>
        <v>vis</v>
      </c>
      <c r="E42" s="47">
        <f>VLOOKUP(C42,Active!C$21:E$967,3,FALSE)</f>
        <v>3047.0416376686289</v>
      </c>
      <c r="F42" s="5" t="s">
        <v>64</v>
      </c>
      <c r="G42" s="13" t="str">
        <f t="shared" si="4"/>
        <v>37188.368</v>
      </c>
      <c r="H42" s="39">
        <f t="shared" si="5"/>
        <v>3047</v>
      </c>
      <c r="I42" s="48" t="s">
        <v>121</v>
      </c>
      <c r="J42" s="49" t="s">
        <v>122</v>
      </c>
      <c r="K42" s="48">
        <v>3047</v>
      </c>
      <c r="L42" s="48" t="s">
        <v>123</v>
      </c>
      <c r="M42" s="49" t="s">
        <v>70</v>
      </c>
      <c r="N42" s="49"/>
      <c r="O42" s="50" t="s">
        <v>76</v>
      </c>
      <c r="P42" s="51" t="s">
        <v>77</v>
      </c>
    </row>
    <row r="43" spans="1:16" ht="12.75" customHeight="1" thickBot="1">
      <c r="A43" s="39" t="str">
        <f t="shared" ref="A43:A59" si="6">P43</f>
        <v> HABZ 38 </v>
      </c>
      <c r="B43" s="5" t="str">
        <f t="shared" ref="B43:B59" si="7">IF(H43=INT(H43),"I","II")</f>
        <v>I</v>
      </c>
      <c r="C43" s="39">
        <f t="shared" ref="C43:C59" si="8">1*G43</f>
        <v>37202.444000000003</v>
      </c>
      <c r="D43" s="13" t="str">
        <f t="shared" ref="D43:D59" si="9">VLOOKUP(F43,I$1:J$5,2,FALSE)</f>
        <v>vis</v>
      </c>
      <c r="E43" s="47">
        <f>VLOOKUP(C43,Active!C$21:E$967,3,FALSE)</f>
        <v>3050.9997117770713</v>
      </c>
      <c r="F43" s="5" t="s">
        <v>64</v>
      </c>
      <c r="G43" s="13" t="str">
        <f t="shared" ref="G43:G59" si="10">MID(I43,3,LEN(I43)-3)</f>
        <v>37202.444</v>
      </c>
      <c r="H43" s="39">
        <f t="shared" ref="H43:H59" si="11">1*K43</f>
        <v>3051</v>
      </c>
      <c r="I43" s="48" t="s">
        <v>124</v>
      </c>
      <c r="J43" s="49" t="s">
        <v>125</v>
      </c>
      <c r="K43" s="48">
        <v>3051</v>
      </c>
      <c r="L43" s="48" t="s">
        <v>126</v>
      </c>
      <c r="M43" s="49" t="s">
        <v>70</v>
      </c>
      <c r="N43" s="49"/>
      <c r="O43" s="50" t="s">
        <v>113</v>
      </c>
      <c r="P43" s="50" t="s">
        <v>114</v>
      </c>
    </row>
    <row r="44" spans="1:16" ht="12.75" customHeight="1" thickBot="1">
      <c r="A44" s="39" t="str">
        <f t="shared" si="6"/>
        <v>IBVS 32 </v>
      </c>
      <c r="B44" s="5" t="str">
        <f t="shared" si="7"/>
        <v>I</v>
      </c>
      <c r="C44" s="39">
        <f t="shared" si="8"/>
        <v>37579.294000000002</v>
      </c>
      <c r="D44" s="13" t="str">
        <f t="shared" si="9"/>
        <v>vis</v>
      </c>
      <c r="E44" s="47">
        <f>VLOOKUP(C44,Active!C$21:E$967,3,FALSE)</f>
        <v>3156.9673323913371</v>
      </c>
      <c r="F44" s="5" t="s">
        <v>64</v>
      </c>
      <c r="G44" s="13" t="str">
        <f t="shared" si="10"/>
        <v>37579.294</v>
      </c>
      <c r="H44" s="39">
        <f t="shared" si="11"/>
        <v>3157</v>
      </c>
      <c r="I44" s="48" t="s">
        <v>127</v>
      </c>
      <c r="J44" s="49" t="s">
        <v>128</v>
      </c>
      <c r="K44" s="48">
        <v>3157</v>
      </c>
      <c r="L44" s="48" t="s">
        <v>129</v>
      </c>
      <c r="M44" s="49" t="s">
        <v>70</v>
      </c>
      <c r="N44" s="49"/>
      <c r="O44" s="50" t="s">
        <v>76</v>
      </c>
      <c r="P44" s="51" t="s">
        <v>77</v>
      </c>
    </row>
    <row r="45" spans="1:16" ht="12.75" customHeight="1" thickBot="1">
      <c r="A45" s="39" t="str">
        <f t="shared" si="6"/>
        <v> HABZ 38 </v>
      </c>
      <c r="B45" s="5" t="str">
        <f t="shared" si="7"/>
        <v>I</v>
      </c>
      <c r="C45" s="39">
        <f t="shared" si="8"/>
        <v>37579.387000000002</v>
      </c>
      <c r="D45" s="13" t="str">
        <f t="shared" si="9"/>
        <v>vis</v>
      </c>
      <c r="E45" s="47">
        <f>VLOOKUP(C45,Active!C$21:E$967,3,FALSE)</f>
        <v>3156.9934833498542</v>
      </c>
      <c r="F45" s="5" t="s">
        <v>64</v>
      </c>
      <c r="G45" s="13" t="str">
        <f t="shared" si="10"/>
        <v>37579.387</v>
      </c>
      <c r="H45" s="39">
        <f t="shared" si="11"/>
        <v>3157</v>
      </c>
      <c r="I45" s="48" t="s">
        <v>130</v>
      </c>
      <c r="J45" s="49" t="s">
        <v>131</v>
      </c>
      <c r="K45" s="48">
        <v>3157</v>
      </c>
      <c r="L45" s="48" t="s">
        <v>132</v>
      </c>
      <c r="M45" s="49" t="s">
        <v>70</v>
      </c>
      <c r="N45" s="49"/>
      <c r="O45" s="50" t="s">
        <v>113</v>
      </c>
      <c r="P45" s="50" t="s">
        <v>114</v>
      </c>
    </row>
    <row r="46" spans="1:16" ht="12.75" customHeight="1" thickBot="1">
      <c r="A46" s="39" t="str">
        <f t="shared" si="6"/>
        <v> HABZ 38 </v>
      </c>
      <c r="B46" s="5" t="str">
        <f t="shared" si="7"/>
        <v>I</v>
      </c>
      <c r="C46" s="39">
        <f t="shared" si="8"/>
        <v>37956.332999999999</v>
      </c>
      <c r="D46" s="13" t="str">
        <f t="shared" si="9"/>
        <v>vis</v>
      </c>
      <c r="E46" s="47">
        <f>VLOOKUP(C46,Active!C$21:E$967,3,FALSE)</f>
        <v>3262.9880985019436</v>
      </c>
      <c r="F46" s="5" t="s">
        <v>64</v>
      </c>
      <c r="G46" s="13" t="str">
        <f t="shared" si="10"/>
        <v>37956.333</v>
      </c>
      <c r="H46" s="39">
        <f t="shared" si="11"/>
        <v>3263</v>
      </c>
      <c r="I46" s="48" t="s">
        <v>133</v>
      </c>
      <c r="J46" s="49" t="s">
        <v>134</v>
      </c>
      <c r="K46" s="48">
        <v>3263</v>
      </c>
      <c r="L46" s="48" t="s">
        <v>135</v>
      </c>
      <c r="M46" s="49" t="s">
        <v>70</v>
      </c>
      <c r="N46" s="49"/>
      <c r="O46" s="50" t="s">
        <v>113</v>
      </c>
      <c r="P46" s="50" t="s">
        <v>114</v>
      </c>
    </row>
    <row r="47" spans="1:16" ht="12.75" customHeight="1" thickBot="1">
      <c r="A47" s="39" t="str">
        <f t="shared" si="6"/>
        <v> HABZ 38 </v>
      </c>
      <c r="B47" s="5" t="str">
        <f t="shared" si="7"/>
        <v>I</v>
      </c>
      <c r="C47" s="39">
        <f t="shared" si="8"/>
        <v>38557.438000000002</v>
      </c>
      <c r="D47" s="13" t="str">
        <f t="shared" si="9"/>
        <v>vis</v>
      </c>
      <c r="E47" s="47">
        <f>VLOOKUP(C47,Active!C$21:E$967,3,FALSE)</f>
        <v>3432.0146782799425</v>
      </c>
      <c r="F47" s="5" t="s">
        <v>64</v>
      </c>
      <c r="G47" s="13" t="str">
        <f t="shared" si="10"/>
        <v>38557.438</v>
      </c>
      <c r="H47" s="39">
        <f t="shared" si="11"/>
        <v>3432</v>
      </c>
      <c r="I47" s="48" t="s">
        <v>136</v>
      </c>
      <c r="J47" s="49" t="s">
        <v>137</v>
      </c>
      <c r="K47" s="48">
        <v>3432</v>
      </c>
      <c r="L47" s="48" t="s">
        <v>138</v>
      </c>
      <c r="M47" s="49" t="s">
        <v>70</v>
      </c>
      <c r="N47" s="49"/>
      <c r="O47" s="50" t="s">
        <v>113</v>
      </c>
      <c r="P47" s="50" t="s">
        <v>114</v>
      </c>
    </row>
    <row r="48" spans="1:16" ht="12.75" customHeight="1" thickBot="1">
      <c r="A48" s="39" t="str">
        <f t="shared" si="6"/>
        <v> HABZ 38 </v>
      </c>
      <c r="B48" s="5" t="str">
        <f t="shared" si="7"/>
        <v>I</v>
      </c>
      <c r="C48" s="39">
        <f t="shared" si="8"/>
        <v>39055.260999999999</v>
      </c>
      <c r="D48" s="13" t="str">
        <f t="shared" si="9"/>
        <v>vis</v>
      </c>
      <c r="E48" s="47">
        <f>VLOOKUP(C48,Active!C$21:E$967,3,FALSE)</f>
        <v>3571.999072062762</v>
      </c>
      <c r="F48" s="5" t="s">
        <v>64</v>
      </c>
      <c r="G48" s="13" t="str">
        <f t="shared" si="10"/>
        <v>39055.261</v>
      </c>
      <c r="H48" s="39">
        <f t="shared" si="11"/>
        <v>3572</v>
      </c>
      <c r="I48" s="48" t="s">
        <v>139</v>
      </c>
      <c r="J48" s="49" t="s">
        <v>140</v>
      </c>
      <c r="K48" s="48">
        <v>3572</v>
      </c>
      <c r="L48" s="48" t="s">
        <v>66</v>
      </c>
      <c r="M48" s="49" t="s">
        <v>70</v>
      </c>
      <c r="N48" s="49"/>
      <c r="O48" s="50" t="s">
        <v>113</v>
      </c>
      <c r="P48" s="50" t="s">
        <v>114</v>
      </c>
    </row>
    <row r="49" spans="1:16" ht="12.75" customHeight="1" thickBot="1">
      <c r="A49" s="39" t="str">
        <f t="shared" si="6"/>
        <v> BRNO 26 </v>
      </c>
      <c r="B49" s="5" t="str">
        <f t="shared" si="7"/>
        <v>I</v>
      </c>
      <c r="C49" s="39">
        <f t="shared" si="8"/>
        <v>45200.470999999998</v>
      </c>
      <c r="D49" s="13" t="str">
        <f t="shared" si="9"/>
        <v>vis</v>
      </c>
      <c r="E49" s="47">
        <f>VLOOKUP(C49,Active!C$21:E$967,3,FALSE)</f>
        <v>5299.9897364517647</v>
      </c>
      <c r="F49" s="5" t="s">
        <v>64</v>
      </c>
      <c r="G49" s="13" t="str">
        <f t="shared" si="10"/>
        <v>45200.471</v>
      </c>
      <c r="H49" s="39">
        <f t="shared" si="11"/>
        <v>5300</v>
      </c>
      <c r="I49" s="48" t="s">
        <v>141</v>
      </c>
      <c r="J49" s="49" t="s">
        <v>142</v>
      </c>
      <c r="K49" s="48">
        <v>5300</v>
      </c>
      <c r="L49" s="48" t="s">
        <v>143</v>
      </c>
      <c r="M49" s="49" t="s">
        <v>144</v>
      </c>
      <c r="N49" s="49"/>
      <c r="O49" s="50" t="s">
        <v>145</v>
      </c>
      <c r="P49" s="50" t="s">
        <v>146</v>
      </c>
    </row>
    <row r="50" spans="1:16" ht="12.75" customHeight="1" thickBot="1">
      <c r="A50" s="39" t="str">
        <f t="shared" si="6"/>
        <v> BRNO 26 </v>
      </c>
      <c r="B50" s="5" t="str">
        <f t="shared" si="7"/>
        <v>I</v>
      </c>
      <c r="C50" s="39">
        <f t="shared" si="8"/>
        <v>45200.474999999999</v>
      </c>
      <c r="D50" s="13" t="str">
        <f t="shared" si="9"/>
        <v>vis</v>
      </c>
      <c r="E50" s="47">
        <f>VLOOKUP(C50,Active!C$21:E$967,3,FALSE)</f>
        <v>5299.9908612241743</v>
      </c>
      <c r="F50" s="5" t="s">
        <v>64</v>
      </c>
      <c r="G50" s="13" t="str">
        <f t="shared" si="10"/>
        <v>45200.475</v>
      </c>
      <c r="H50" s="39">
        <f t="shared" si="11"/>
        <v>5300</v>
      </c>
      <c r="I50" s="48" t="s">
        <v>147</v>
      </c>
      <c r="J50" s="49" t="s">
        <v>148</v>
      </c>
      <c r="K50" s="48">
        <v>5300</v>
      </c>
      <c r="L50" s="48" t="s">
        <v>149</v>
      </c>
      <c r="M50" s="49" t="s">
        <v>144</v>
      </c>
      <c r="N50" s="49"/>
      <c r="O50" s="50" t="s">
        <v>150</v>
      </c>
      <c r="P50" s="50" t="s">
        <v>146</v>
      </c>
    </row>
    <row r="51" spans="1:16" ht="12.75" customHeight="1" thickBot="1">
      <c r="A51" s="39" t="str">
        <f t="shared" si="6"/>
        <v> BRNO 26 </v>
      </c>
      <c r="B51" s="5" t="str">
        <f t="shared" si="7"/>
        <v>I</v>
      </c>
      <c r="C51" s="39">
        <f t="shared" si="8"/>
        <v>45200.476999999999</v>
      </c>
      <c r="D51" s="13" t="str">
        <f t="shared" si="9"/>
        <v>vis</v>
      </c>
      <c r="E51" s="47">
        <f>VLOOKUP(C51,Active!C$21:E$967,3,FALSE)</f>
        <v>5299.9914236103787</v>
      </c>
      <c r="F51" s="5" t="s">
        <v>64</v>
      </c>
      <c r="G51" s="13" t="str">
        <f t="shared" si="10"/>
        <v>45200.477</v>
      </c>
      <c r="H51" s="39">
        <f t="shared" si="11"/>
        <v>5300</v>
      </c>
      <c r="I51" s="48" t="s">
        <v>151</v>
      </c>
      <c r="J51" s="49" t="s">
        <v>152</v>
      </c>
      <c r="K51" s="48">
        <v>5300</v>
      </c>
      <c r="L51" s="48" t="s">
        <v>153</v>
      </c>
      <c r="M51" s="49" t="s">
        <v>144</v>
      </c>
      <c r="N51" s="49"/>
      <c r="O51" s="50" t="s">
        <v>154</v>
      </c>
      <c r="P51" s="50" t="s">
        <v>146</v>
      </c>
    </row>
    <row r="52" spans="1:16" ht="12.75" customHeight="1" thickBot="1">
      <c r="A52" s="39" t="str">
        <f t="shared" si="6"/>
        <v> BRNO 26 </v>
      </c>
      <c r="B52" s="5" t="str">
        <f t="shared" si="7"/>
        <v>I</v>
      </c>
      <c r="C52" s="39">
        <f t="shared" si="8"/>
        <v>45200.478999999999</v>
      </c>
      <c r="D52" s="13" t="str">
        <f t="shared" si="9"/>
        <v>vis</v>
      </c>
      <c r="E52" s="47">
        <f>VLOOKUP(C52,Active!C$21:E$967,3,FALSE)</f>
        <v>5299.9919859965839</v>
      </c>
      <c r="F52" s="5" t="s">
        <v>64</v>
      </c>
      <c r="G52" s="13" t="str">
        <f t="shared" si="10"/>
        <v>45200.479</v>
      </c>
      <c r="H52" s="39">
        <f t="shared" si="11"/>
        <v>5300</v>
      </c>
      <c r="I52" s="48" t="s">
        <v>155</v>
      </c>
      <c r="J52" s="49" t="s">
        <v>156</v>
      </c>
      <c r="K52" s="48">
        <v>5300</v>
      </c>
      <c r="L52" s="48" t="s">
        <v>157</v>
      </c>
      <c r="M52" s="49" t="s">
        <v>144</v>
      </c>
      <c r="N52" s="49"/>
      <c r="O52" s="50" t="s">
        <v>158</v>
      </c>
      <c r="P52" s="50" t="s">
        <v>146</v>
      </c>
    </row>
    <row r="53" spans="1:16" ht="12.75" customHeight="1" thickBot="1">
      <c r="A53" s="39" t="str">
        <f t="shared" si="6"/>
        <v> BRNO 32 </v>
      </c>
      <c r="B53" s="5" t="str">
        <f t="shared" si="7"/>
        <v>I</v>
      </c>
      <c r="C53" s="39">
        <f t="shared" si="8"/>
        <v>49930.503100000002</v>
      </c>
      <c r="D53" s="13" t="str">
        <f t="shared" si="9"/>
        <v>vis</v>
      </c>
      <c r="E53" s="47">
        <f>VLOOKUP(C53,Active!C$21:E$967,3,FALSE)</f>
        <v>6630.0421367863855</v>
      </c>
      <c r="F53" s="5" t="s">
        <v>64</v>
      </c>
      <c r="G53" s="13" t="str">
        <f t="shared" si="10"/>
        <v>49930.5031</v>
      </c>
      <c r="H53" s="39">
        <f t="shared" si="11"/>
        <v>6630</v>
      </c>
      <c r="I53" s="48" t="s">
        <v>163</v>
      </c>
      <c r="J53" s="49" t="s">
        <v>164</v>
      </c>
      <c r="K53" s="48">
        <v>6630</v>
      </c>
      <c r="L53" s="48" t="s">
        <v>165</v>
      </c>
      <c r="M53" s="49" t="s">
        <v>144</v>
      </c>
      <c r="N53" s="49"/>
      <c r="O53" s="50" t="s">
        <v>166</v>
      </c>
      <c r="P53" s="50" t="s">
        <v>167</v>
      </c>
    </row>
    <row r="54" spans="1:16" ht="12.75" customHeight="1" thickBot="1">
      <c r="A54" s="39" t="str">
        <f t="shared" si="6"/>
        <v>BAVM 193 </v>
      </c>
      <c r="B54" s="5" t="str">
        <f t="shared" si="7"/>
        <v>I</v>
      </c>
      <c r="C54" s="39">
        <f t="shared" si="8"/>
        <v>54365.462599999999</v>
      </c>
      <c r="D54" s="13" t="str">
        <f t="shared" si="9"/>
        <v>vis</v>
      </c>
      <c r="E54" s="47">
        <f>VLOOKUP(C54,Active!C$21:E$967,3,FALSE)</f>
        <v>7877.1221573134808</v>
      </c>
      <c r="F54" s="5" t="s">
        <v>64</v>
      </c>
      <c r="G54" s="13" t="str">
        <f t="shared" si="10"/>
        <v>54365.4626</v>
      </c>
      <c r="H54" s="39">
        <f t="shared" si="11"/>
        <v>7877</v>
      </c>
      <c r="I54" s="48" t="s">
        <v>216</v>
      </c>
      <c r="J54" s="49" t="s">
        <v>217</v>
      </c>
      <c r="K54" s="48" t="s">
        <v>218</v>
      </c>
      <c r="L54" s="48" t="s">
        <v>219</v>
      </c>
      <c r="M54" s="49" t="s">
        <v>188</v>
      </c>
      <c r="N54" s="49" t="s">
        <v>194</v>
      </c>
      <c r="O54" s="50" t="s">
        <v>220</v>
      </c>
      <c r="P54" s="51" t="s">
        <v>221</v>
      </c>
    </row>
    <row r="55" spans="1:16" ht="12.75" customHeight="1" thickBot="1">
      <c r="A55" s="39" t="str">
        <f t="shared" si="6"/>
        <v>OEJV 0094 </v>
      </c>
      <c r="B55" s="5" t="str">
        <f t="shared" si="7"/>
        <v>I</v>
      </c>
      <c r="C55" s="39">
        <f t="shared" si="8"/>
        <v>54678.438300000002</v>
      </c>
      <c r="D55" s="13" t="str">
        <f t="shared" si="9"/>
        <v>vis</v>
      </c>
      <c r="E55" s="47" t="e">
        <f>VLOOKUP(C55,Active!C$21:E$967,3,FALSE)</f>
        <v>#N/A</v>
      </c>
      <c r="F55" s="5" t="s">
        <v>64</v>
      </c>
      <c r="G55" s="13" t="str">
        <f t="shared" si="10"/>
        <v>54678.4383</v>
      </c>
      <c r="H55" s="39">
        <f t="shared" si="11"/>
        <v>7965</v>
      </c>
      <c r="I55" s="48" t="s">
        <v>228</v>
      </c>
      <c r="J55" s="49" t="s">
        <v>229</v>
      </c>
      <c r="K55" s="48" t="s">
        <v>230</v>
      </c>
      <c r="L55" s="48" t="s">
        <v>231</v>
      </c>
      <c r="M55" s="49" t="s">
        <v>188</v>
      </c>
      <c r="N55" s="49" t="s">
        <v>204</v>
      </c>
      <c r="O55" s="50" t="s">
        <v>232</v>
      </c>
      <c r="P55" s="51" t="s">
        <v>233</v>
      </c>
    </row>
    <row r="56" spans="1:16" ht="12.75" customHeight="1" thickBot="1">
      <c r="A56" s="39" t="str">
        <f t="shared" si="6"/>
        <v>OEJV 0094 </v>
      </c>
      <c r="B56" s="5" t="str">
        <f t="shared" si="7"/>
        <v>I</v>
      </c>
      <c r="C56" s="39">
        <f t="shared" si="8"/>
        <v>54678.4395</v>
      </c>
      <c r="D56" s="13" t="str">
        <f t="shared" si="9"/>
        <v>vis</v>
      </c>
      <c r="E56" s="47" t="e">
        <f>VLOOKUP(C56,Active!C$21:E$967,3,FALSE)</f>
        <v>#N/A</v>
      </c>
      <c r="F56" s="5" t="s">
        <v>64</v>
      </c>
      <c r="G56" s="13" t="str">
        <f t="shared" si="10"/>
        <v>54678.4395</v>
      </c>
      <c r="H56" s="39">
        <f t="shared" si="11"/>
        <v>7965</v>
      </c>
      <c r="I56" s="48" t="s">
        <v>234</v>
      </c>
      <c r="J56" s="49" t="s">
        <v>235</v>
      </c>
      <c r="K56" s="48" t="s">
        <v>230</v>
      </c>
      <c r="L56" s="48" t="s">
        <v>236</v>
      </c>
      <c r="M56" s="49" t="s">
        <v>188</v>
      </c>
      <c r="N56" s="49" t="s">
        <v>64</v>
      </c>
      <c r="O56" s="50" t="s">
        <v>232</v>
      </c>
      <c r="P56" s="51" t="s">
        <v>233</v>
      </c>
    </row>
    <row r="57" spans="1:16" ht="12.75" customHeight="1" thickBot="1">
      <c r="A57" s="39" t="str">
        <f t="shared" si="6"/>
        <v>OEJV 0137 </v>
      </c>
      <c r="B57" s="5" t="str">
        <f t="shared" si="7"/>
        <v>I</v>
      </c>
      <c r="C57" s="39">
        <f t="shared" si="8"/>
        <v>55169.241800000003</v>
      </c>
      <c r="D57" s="13" t="str">
        <f t="shared" si="9"/>
        <v>vis</v>
      </c>
      <c r="E57" s="47" t="e">
        <f>VLOOKUP(C57,Active!C$21:E$967,3,FALSE)</f>
        <v>#N/A</v>
      </c>
      <c r="F57" s="5" t="s">
        <v>64</v>
      </c>
      <c r="G57" s="13" t="str">
        <f t="shared" si="10"/>
        <v>55169.2418</v>
      </c>
      <c r="H57" s="39">
        <f t="shared" si="11"/>
        <v>8103</v>
      </c>
      <c r="I57" s="48" t="s">
        <v>243</v>
      </c>
      <c r="J57" s="49" t="s">
        <v>244</v>
      </c>
      <c r="K57" s="48" t="s">
        <v>245</v>
      </c>
      <c r="L57" s="48" t="s">
        <v>246</v>
      </c>
      <c r="M57" s="49" t="s">
        <v>188</v>
      </c>
      <c r="N57" s="49" t="s">
        <v>42</v>
      </c>
      <c r="O57" s="50" t="s">
        <v>247</v>
      </c>
      <c r="P57" s="51" t="s">
        <v>248</v>
      </c>
    </row>
    <row r="58" spans="1:16" ht="12.75" customHeight="1" thickBot="1">
      <c r="A58" s="39" t="str">
        <f t="shared" si="6"/>
        <v>OEJV 0137 </v>
      </c>
      <c r="B58" s="5" t="str">
        <f t="shared" si="7"/>
        <v>I</v>
      </c>
      <c r="C58" s="39">
        <f t="shared" si="8"/>
        <v>55464.432399999998</v>
      </c>
      <c r="D58" s="13" t="str">
        <f t="shared" si="9"/>
        <v>vis</v>
      </c>
      <c r="E58" s="47" t="e">
        <f>VLOOKUP(C58,Active!C$21:E$967,3,FALSE)</f>
        <v>#N/A</v>
      </c>
      <c r="F58" s="5" t="s">
        <v>64</v>
      </c>
      <c r="G58" s="13" t="str">
        <f t="shared" si="10"/>
        <v>55464.4324</v>
      </c>
      <c r="H58" s="39">
        <f t="shared" si="11"/>
        <v>8186</v>
      </c>
      <c r="I58" s="48" t="s">
        <v>249</v>
      </c>
      <c r="J58" s="49" t="s">
        <v>250</v>
      </c>
      <c r="K58" s="48" t="s">
        <v>251</v>
      </c>
      <c r="L58" s="48" t="s">
        <v>252</v>
      </c>
      <c r="M58" s="49" t="s">
        <v>188</v>
      </c>
      <c r="N58" s="49" t="s">
        <v>42</v>
      </c>
      <c r="O58" s="50" t="s">
        <v>247</v>
      </c>
      <c r="P58" s="51" t="s">
        <v>248</v>
      </c>
    </row>
    <row r="59" spans="1:16" ht="12.75" customHeight="1" thickBot="1">
      <c r="A59" s="39" t="str">
        <f t="shared" si="6"/>
        <v>OEJV 0137 </v>
      </c>
      <c r="B59" s="5" t="str">
        <f t="shared" si="7"/>
        <v>I</v>
      </c>
      <c r="C59" s="39">
        <f t="shared" si="8"/>
        <v>55464.433199999999</v>
      </c>
      <c r="D59" s="13" t="str">
        <f t="shared" si="9"/>
        <v>vis</v>
      </c>
      <c r="E59" s="47" t="e">
        <f>VLOOKUP(C59,Active!C$21:E$967,3,FALSE)</f>
        <v>#N/A</v>
      </c>
      <c r="F59" s="5" t="s">
        <v>64</v>
      </c>
      <c r="G59" s="13" t="str">
        <f t="shared" si="10"/>
        <v>55464.4332</v>
      </c>
      <c r="H59" s="39">
        <f t="shared" si="11"/>
        <v>8186</v>
      </c>
      <c r="I59" s="48" t="s">
        <v>253</v>
      </c>
      <c r="J59" s="49" t="s">
        <v>254</v>
      </c>
      <c r="K59" s="48" t="s">
        <v>251</v>
      </c>
      <c r="L59" s="48" t="s">
        <v>255</v>
      </c>
      <c r="M59" s="49" t="s">
        <v>188</v>
      </c>
      <c r="N59" s="49" t="s">
        <v>204</v>
      </c>
      <c r="O59" s="50" t="s">
        <v>247</v>
      </c>
      <c r="P59" s="51" t="s">
        <v>248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8" type="noConversion"/>
  <hyperlinks>
    <hyperlink ref="P28" r:id="rId1" display="http://www.konkoly.hu/cgi-bin/IBVS?32" xr:uid="{00000000-0004-0000-0100-000000000000}"/>
    <hyperlink ref="P29" r:id="rId2" display="http://www.konkoly.hu/cgi-bin/IBVS?32" xr:uid="{00000000-0004-0000-0100-000001000000}"/>
    <hyperlink ref="P30" r:id="rId3" display="http://www.konkoly.hu/cgi-bin/IBVS?32" xr:uid="{00000000-0004-0000-0100-000002000000}"/>
    <hyperlink ref="P31" r:id="rId4" display="http://www.konkoly.hu/cgi-bin/IBVS?32" xr:uid="{00000000-0004-0000-0100-000003000000}"/>
    <hyperlink ref="P32" r:id="rId5" display="http://www.konkoly.hu/cgi-bin/IBVS?32" xr:uid="{00000000-0004-0000-0100-000004000000}"/>
    <hyperlink ref="P33" r:id="rId6" display="http://www.konkoly.hu/cgi-bin/IBVS?32" xr:uid="{00000000-0004-0000-0100-000005000000}"/>
    <hyperlink ref="P34" r:id="rId7" display="http://www.konkoly.hu/cgi-bin/IBVS?32" xr:uid="{00000000-0004-0000-0100-000006000000}"/>
    <hyperlink ref="P38" r:id="rId8" display="http://www.konkoly.hu/cgi-bin/IBVS?32" xr:uid="{00000000-0004-0000-0100-000007000000}"/>
    <hyperlink ref="P40" r:id="rId9" display="http://www.konkoly.hu/cgi-bin/IBVS?32" xr:uid="{00000000-0004-0000-0100-000008000000}"/>
    <hyperlink ref="P41" r:id="rId10" display="http://www.konkoly.hu/cgi-bin/IBVS?32" xr:uid="{00000000-0004-0000-0100-000009000000}"/>
    <hyperlink ref="P42" r:id="rId11" display="http://www.konkoly.hu/cgi-bin/IBVS?32" xr:uid="{00000000-0004-0000-0100-00000A000000}"/>
    <hyperlink ref="P44" r:id="rId12" display="http://www.konkoly.hu/cgi-bin/IBVS?32" xr:uid="{00000000-0004-0000-0100-00000B000000}"/>
    <hyperlink ref="P15" r:id="rId13" display="http://www.konkoly.hu/cgi-bin/IBVS?4888" xr:uid="{00000000-0004-0000-0100-00000C000000}"/>
    <hyperlink ref="P16" r:id="rId14" display="http://var.astro.cz/oejv/issues/oejv0074.pdf" xr:uid="{00000000-0004-0000-0100-00000D000000}"/>
    <hyperlink ref="P17" r:id="rId15" display="http://var.astro.cz/oejv/issues/oejv0074.pdf" xr:uid="{00000000-0004-0000-0100-00000E000000}"/>
    <hyperlink ref="P18" r:id="rId16" display="http://www.bav-astro.de/sfs/BAVM_link.php?BAVMnr=173" xr:uid="{00000000-0004-0000-0100-00000F000000}"/>
    <hyperlink ref="P19" r:id="rId17" display="http://var.astro.cz/oejv/issues/oejv0074.pdf" xr:uid="{00000000-0004-0000-0100-000010000000}"/>
    <hyperlink ref="P20" r:id="rId18" display="http://www.bav-astro.de/sfs/BAVM_link.php?BAVMnr=183" xr:uid="{00000000-0004-0000-0100-000011000000}"/>
    <hyperlink ref="P21" r:id="rId19" display="http://www.bav-astro.de/sfs/BAVM_link.php?BAVMnr=183" xr:uid="{00000000-0004-0000-0100-000012000000}"/>
    <hyperlink ref="P54" r:id="rId20" display="http://www.bav-astro.de/sfs/BAVM_link.php?BAVMnr=193" xr:uid="{00000000-0004-0000-0100-000013000000}"/>
    <hyperlink ref="P22" r:id="rId21" display="http://www.bav-astro.de/sfs/BAVM_link.php?BAVMnr=201" xr:uid="{00000000-0004-0000-0100-000014000000}"/>
    <hyperlink ref="P55" r:id="rId22" display="http://var.astro.cz/oejv/issues/oejv0094.pdf" xr:uid="{00000000-0004-0000-0100-000015000000}"/>
    <hyperlink ref="P56" r:id="rId23" display="http://var.astro.cz/oejv/issues/oejv0094.pdf" xr:uid="{00000000-0004-0000-0100-000016000000}"/>
    <hyperlink ref="P23" r:id="rId24" display="http://www.bav-astro.de/sfs/BAVM_link.php?BAVMnr=214" xr:uid="{00000000-0004-0000-0100-000017000000}"/>
    <hyperlink ref="P57" r:id="rId25" display="http://var.astro.cz/oejv/issues/oejv0137.pdf" xr:uid="{00000000-0004-0000-0100-000018000000}"/>
    <hyperlink ref="P58" r:id="rId26" display="http://var.astro.cz/oejv/issues/oejv0137.pdf" xr:uid="{00000000-0004-0000-0100-000019000000}"/>
    <hyperlink ref="P59" r:id="rId27" display="http://var.astro.cz/oejv/issues/oejv0137.pdf" xr:uid="{00000000-0004-0000-0100-00001A000000}"/>
    <hyperlink ref="P24" r:id="rId28" display="http://var.astro.cz/oejv/issues/oejv0160.pdf" xr:uid="{00000000-0004-0000-0100-00001B000000}"/>
    <hyperlink ref="P25" r:id="rId29" display="http://var.astro.cz/oejv/issues/oejv0160.pdf" xr:uid="{00000000-0004-0000-0100-00001C000000}"/>
    <hyperlink ref="P26" r:id="rId30" display="http://var.astro.cz/oejv/issues/oejv0160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2023-12-29T06:52:17Z</dcterms:modified>
</cp:coreProperties>
</file>