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BF60E26-CD55-48B8-9C53-48F7220488D3}" xr6:coauthVersionLast="47" xr6:coauthVersionMax="47" xr10:uidLastSave="{00000000-0000-0000-0000-000000000000}"/>
  <bookViews>
    <workbookView xWindow="14565" yWindow="840" windowWidth="1347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J27" i="1" s="1"/>
  <c r="Q27" i="1"/>
  <c r="E28" i="1"/>
  <c r="F28" i="1"/>
  <c r="G28" i="1" s="1"/>
  <c r="J28" i="1" s="1"/>
  <c r="Q28" i="1"/>
  <c r="E29" i="1"/>
  <c r="F29" i="1" s="1"/>
  <c r="G29" i="1" s="1"/>
  <c r="J29" i="1" s="1"/>
  <c r="Q29" i="1"/>
  <c r="E30" i="1"/>
  <c r="F30" i="1" s="1"/>
  <c r="G30" i="1" s="1"/>
  <c r="J30" i="1" s="1"/>
  <c r="Q30" i="1"/>
  <c r="E31" i="1"/>
  <c r="F31" i="1" s="1"/>
  <c r="G31" i="1" s="1"/>
  <c r="J31" i="1" s="1"/>
  <c r="Q31" i="1"/>
  <c r="E32" i="1"/>
  <c r="F32" i="1"/>
  <c r="G32" i="1" s="1"/>
  <c r="J32" i="1" s="1"/>
  <c r="Q32" i="1"/>
  <c r="E33" i="1"/>
  <c r="F33" i="1" s="1"/>
  <c r="G33" i="1" s="1"/>
  <c r="J33" i="1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G14" i="2"/>
  <c r="C14" i="2"/>
  <c r="G15" i="2"/>
  <c r="C15" i="2"/>
  <c r="E15" i="2"/>
  <c r="G13" i="2"/>
  <c r="C13" i="2"/>
  <c r="G12" i="2"/>
  <c r="C12" i="2"/>
  <c r="G11" i="2"/>
  <c r="C11" i="2"/>
  <c r="H14" i="2"/>
  <c r="B14" i="2"/>
  <c r="D14" i="2"/>
  <c r="A14" i="2"/>
  <c r="H15" i="2"/>
  <c r="B15" i="2"/>
  <c r="D15" i="2"/>
  <c r="A15" i="2"/>
  <c r="H13" i="2"/>
  <c r="B13" i="2"/>
  <c r="D13" i="2"/>
  <c r="A13" i="2"/>
  <c r="H12" i="2"/>
  <c r="B12" i="2"/>
  <c r="D12" i="2"/>
  <c r="A12" i="2"/>
  <c r="H11" i="2"/>
  <c r="B11" i="2"/>
  <c r="D11" i="2"/>
  <c r="A11" i="2"/>
  <c r="Q26" i="1"/>
  <c r="C9" i="1"/>
  <c r="D9" i="1"/>
  <c r="F16" i="1"/>
  <c r="F17" i="1" s="1"/>
  <c r="Q25" i="1"/>
  <c r="Q23" i="1"/>
  <c r="Q24" i="1"/>
  <c r="C17" i="1"/>
  <c r="Q22" i="1"/>
  <c r="C21" i="1"/>
  <c r="E21" i="1"/>
  <c r="F21" i="1"/>
  <c r="C7" i="1"/>
  <c r="E23" i="1"/>
  <c r="F23" i="1"/>
  <c r="C8" i="1"/>
  <c r="E22" i="1"/>
  <c r="F22" i="1"/>
  <c r="E12" i="2"/>
  <c r="E13" i="2"/>
  <c r="E14" i="2"/>
  <c r="E11" i="2"/>
  <c r="G26" i="1"/>
  <c r="J26" i="1"/>
  <c r="Q21" i="1"/>
  <c r="E24" i="1"/>
  <c r="F24" i="1"/>
  <c r="G24" i="1"/>
  <c r="K24" i="1"/>
  <c r="G25" i="1"/>
  <c r="K25" i="1"/>
  <c r="E26" i="1"/>
  <c r="F26" i="1"/>
  <c r="G23" i="1"/>
  <c r="K23" i="1"/>
  <c r="G21" i="1"/>
  <c r="H21" i="1"/>
  <c r="E25" i="1"/>
  <c r="F25" i="1"/>
  <c r="G22" i="1"/>
  <c r="K22" i="1"/>
  <c r="C11" i="1"/>
  <c r="C12" i="1"/>
  <c r="O29" i="1" l="1"/>
  <c r="O33" i="1"/>
  <c r="O28" i="1"/>
  <c r="O32" i="1"/>
  <c r="O27" i="1"/>
  <c r="O31" i="1"/>
  <c r="O35" i="1"/>
  <c r="O30" i="1"/>
  <c r="O34" i="1"/>
  <c r="C16" i="1"/>
  <c r="D18" i="1" s="1"/>
  <c r="O23" i="1"/>
  <c r="O22" i="1"/>
  <c r="O25" i="1"/>
  <c r="C15" i="1"/>
  <c r="F18" i="1" s="1"/>
  <c r="O21" i="1"/>
  <c r="O24" i="1"/>
  <c r="O26" i="1"/>
  <c r="C18" i="1" l="1"/>
  <c r="F19" i="1"/>
</calcChain>
</file>

<file path=xl/sharedStrings.xml><?xml version="1.0" encoding="utf-8"?>
<sst xmlns="http://schemas.openxmlformats.org/spreadsheetml/2006/main" count="126" uniqueCount="84">
  <si>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</si>
  <si>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</si>
  <si>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</si>
  <si>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</si>
  <si>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</si>
  <si>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</si>
  <si>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</si>
  <si>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</si>
  <si>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</si>
  <si>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</si>
  <si>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</si>
  <si>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</si>
  <si>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</si>
  <si>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</si>
  <si>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</si>
  <si>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</si>
  <si>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</si>
  <si>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</si>
  <si>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</si>
  <si>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</si>
  <si>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</si>
  <si>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</si>
  <si>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</si>
  <si>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</si>
  <si>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</si>
  <si>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</si>
  <si>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</si>
  <si>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</si>
  <si>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EA/SD</t>
  </si>
  <si>
    <t>IBVS 5263</t>
  </si>
  <si>
    <t>I</t>
  </si>
  <si>
    <t># of data points:</t>
  </si>
  <si>
    <t>V1047 Cyg / ??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</si>
  <si>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</si>
  <si>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</si>
  <si>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</si>
  <si>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</si>
  <si>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</si>
  <si>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</si>
  <si>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</si>
  <si>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CCD</t>
  </si>
  <si>
    <t>OEJV 0107</t>
  </si>
  <si>
    <t>Add cycle</t>
  </si>
  <si>
    <t>Old Cycle</t>
  </si>
  <si>
    <t>IBVS 6118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</si>
  <si>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</si>
  <si>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</si>
  <si>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</si>
  <si>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</si>
  <si>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</si>
  <si>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</si>
  <si>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</si>
  <si>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</si>
  <si>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</si>
  <si>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</si>
  <si>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2451435.4094 </t>
  </si>
  <si>
    <t> 13.09.1999 21:49 </t>
  </si>
  <si>
    <t> 0.0311 </t>
  </si>
  <si>
    <t>E </t>
  </si>
  <si>
    <t>?</t>
  </si>
  <si>
    <t> M.Zejda </t>
  </si>
  <si>
    <t>IBVS 5263 </t>
  </si>
  <si>
    <t>2452041.54530 </t>
  </si>
  <si>
    <t> 12.05.2001 01:05 </t>
  </si>
  <si>
    <t> 0.02998 </t>
  </si>
  <si>
    <t>C </t>
  </si>
  <si>
    <t>o</t>
  </si>
  <si>
    <t> P.Hájek </t>
  </si>
  <si>
    <t>OEJV 0074 </t>
  </si>
  <si>
    <t>2452055.49360 </t>
  </si>
  <si>
    <t> 25.05.2001 23:50 </t>
  </si>
  <si>
    <t> 0.03341 </t>
  </si>
  <si>
    <t>2454223.4644 </t>
  </si>
  <si>
    <t> 02.05.2007 23:08 </t>
  </si>
  <si>
    <t> 0.0418 </t>
  </si>
  <si>
    <t>R</t>
  </si>
  <si>
    <t> M.Lehky </t>
  </si>
  <si>
    <t>OEJV 0107 </t>
  </si>
  <si>
    <t>2455333.4775 </t>
  </si>
  <si>
    <t> 16.05.2010 23:27 </t>
  </si>
  <si>
    <t> 0.0432 </t>
  </si>
  <si>
    <t> W.Moschner &amp; P.Frank </t>
  </si>
  <si>
    <t>BAVM 234 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</si>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</sst>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8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8" fontId="0" fillId="0" borderId="0" xfId="0" applyNumberFormat="1" applyAlignment="1">
      <alignment horizontal="left"/>
    </xf>
    <xf numFmtId="178" fontId="8" fillId="0" borderId="0" xfId="0" applyNumberFormat="1" applyFont="1" applyAlignment="1">
      <alignment horizontal="left" vertical="center" wrapText="1"/>
    </xf>
    <xf numFmtId="178" fontId="5" fillId="0" borderId="0" xfId="0" applyNumberFormat="1" applyFont="1" applyFill="1" applyAlignment="1">
      <alignment horizontal="left"/>
    </xf>
    <xf numFmtId="178" fontId="15" fillId="0" borderId="0" xfId="0" applyNumberFormat="1" applyFont="1" applyAlignment="1">
      <alignment horizontal="left"/>
    </xf>
    <xf numFmtId="178" fontId="16" fillId="0" borderId="0" xfId="0" applyNumberFormat="1" applyFont="1" applyAlignment="1">
      <alignment horizontal="left"/>
    </xf>
    <xf numFmtId="178" fontId="20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V1047 Cyg - O-C Diagr.</a:t>
            </a:r>
          </a:p>
        </c:rich>
      </c:tx>
      <c:layout>
        <c:manualLayout>
          <c:xMode val="edge"/>
          <c:yMode val="edge"/>
          <c:x val="0.357027802865514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678942920199375"/>
          <c:w val="0.8061395696653259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02-474C-8864-5A26312F57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02-474C-8864-5A26312F57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4.3202000000746921E-2</c:v>
                </c:pt>
                <c:pt idx="6">
                  <c:v>5.9449999993375968E-2</c:v>
                </c:pt>
                <c:pt idx="7">
                  <c:v>6.3219999996363185E-2</c:v>
                </c:pt>
                <c:pt idx="8">
                  <c:v>6.3767999999981839E-2</c:v>
                </c:pt>
                <c:pt idx="9">
                  <c:v>7.0091000001411885E-2</c:v>
                </c:pt>
                <c:pt idx="10">
                  <c:v>7.5714999999036081E-2</c:v>
                </c:pt>
                <c:pt idx="11">
                  <c:v>7.0791999998618849E-2</c:v>
                </c:pt>
                <c:pt idx="12">
                  <c:v>7.3777999998128507E-2</c:v>
                </c:pt>
                <c:pt idx="13">
                  <c:v>7.5595999995130114E-2</c:v>
                </c:pt>
                <c:pt idx="14">
                  <c:v>7.5905999998212792E-2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02-474C-8864-5A26312F57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3.1095999998797197E-2</c:v>
                </c:pt>
                <c:pt idx="2">
                  <c:v>2.9979999999341089E-2</c:v>
                </c:pt>
                <c:pt idx="3">
                  <c:v>3.3410000003641471E-2</c:v>
                </c:pt>
                <c:pt idx="4">
                  <c:v>4.1843999999400694E-2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02-474C-8864-5A26312F57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02-474C-8864-5A26312F57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02-474C-8864-5A26312F57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02-474C-8864-5A26312F57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-0.11009303931733434</c:v>
                </c:pt>
                <c:pt idx="1">
                  <c:v>2.7544048125205903E-2</c:v>
                </c:pt>
                <c:pt idx="2">
                  <c:v>3.1010495166790261E-2</c:v>
                </c:pt>
                <c:pt idx="3">
                  <c:v>3.1090244715292967E-2</c:v>
                </c:pt>
                <c:pt idx="4">
                  <c:v>4.3488641189180652E-2</c:v>
                </c:pt>
                <c:pt idx="5">
                  <c:v>4.9836705249996185E-2</c:v>
                </c:pt>
                <c:pt idx="6">
                  <c:v>6.2830565019370746E-2</c:v>
                </c:pt>
                <c:pt idx="7">
                  <c:v>6.4877470097606929E-2</c:v>
                </c:pt>
                <c:pt idx="8">
                  <c:v>6.5111402106548186E-2</c:v>
                </c:pt>
                <c:pt idx="9">
                  <c:v>6.5145960244232706E-2</c:v>
                </c:pt>
                <c:pt idx="10">
                  <c:v>7.1111226472235264E-2</c:v>
                </c:pt>
                <c:pt idx="11">
                  <c:v>7.1608331991235466E-2</c:v>
                </c:pt>
                <c:pt idx="12">
                  <c:v>7.3112940139653235E-2</c:v>
                </c:pt>
                <c:pt idx="13">
                  <c:v>7.5393777226830674E-2</c:v>
                </c:pt>
                <c:pt idx="14">
                  <c:v>7.568619223800728E-2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02-474C-8864-5A26312F5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893712"/>
        <c:axId val="1"/>
      </c:scatterChart>
      <c:valAx>
        <c:axId val="713893712"/>
        <c:scaling>
          <c:orientation val="minMax"/>
          <c:max val="31000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893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01632469608503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V1047 Cyg - O-C Diagr.</a:t>
            </a:r>
          </a:p>
        </c:rich>
      </c:tx>
      <c:layout>
        <c:manualLayout>
          <c:xMode val="edge"/>
          <c:yMode val="edge"/>
          <c:x val="0.35645161290322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96774193548387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0-40EF-9EDB-D7A4F1E7AB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E0-40EF-9EDB-D7A4F1E7AB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4.3202000000746921E-2</c:v>
                </c:pt>
                <c:pt idx="6">
                  <c:v>5.9449999993375968E-2</c:v>
                </c:pt>
                <c:pt idx="7">
                  <c:v>6.3219999996363185E-2</c:v>
                </c:pt>
                <c:pt idx="8">
                  <c:v>6.3767999999981839E-2</c:v>
                </c:pt>
                <c:pt idx="9">
                  <c:v>7.0091000001411885E-2</c:v>
                </c:pt>
                <c:pt idx="10">
                  <c:v>7.5714999999036081E-2</c:v>
                </c:pt>
                <c:pt idx="11">
                  <c:v>7.0791999998618849E-2</c:v>
                </c:pt>
                <c:pt idx="12">
                  <c:v>7.3777999998128507E-2</c:v>
                </c:pt>
                <c:pt idx="13">
                  <c:v>7.5595999995130114E-2</c:v>
                </c:pt>
                <c:pt idx="14">
                  <c:v>7.5905999998212792E-2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E0-40EF-9EDB-D7A4F1E7AB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3.1095999998797197E-2</c:v>
                </c:pt>
                <c:pt idx="2">
                  <c:v>2.9979999999341089E-2</c:v>
                </c:pt>
                <c:pt idx="3">
                  <c:v>3.3410000003641471E-2</c:v>
                </c:pt>
                <c:pt idx="4">
                  <c:v>4.1843999999400694E-2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E0-40EF-9EDB-D7A4F1E7AB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E0-40EF-9EDB-D7A4F1E7AB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E0-40EF-9EDB-D7A4F1E7AB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E0-40EF-9EDB-D7A4F1E7AB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25888</c:v>
                </c:pt>
                <c:pt idx="2">
                  <c:v>26540</c:v>
                </c:pt>
                <c:pt idx="3">
                  <c:v>26555</c:v>
                </c:pt>
                <c:pt idx="4">
                  <c:v>28887</c:v>
                </c:pt>
                <c:pt idx="5">
                  <c:v>30081</c:v>
                </c:pt>
                <c:pt idx="6">
                  <c:v>32525</c:v>
                </c:pt>
                <c:pt idx="7">
                  <c:v>32910</c:v>
                </c:pt>
                <c:pt idx="8">
                  <c:v>32954</c:v>
                </c:pt>
                <c:pt idx="9">
                  <c:v>32960.5</c:v>
                </c:pt>
                <c:pt idx="10">
                  <c:v>34082.5</c:v>
                </c:pt>
                <c:pt idx="11">
                  <c:v>34176</c:v>
                </c:pt>
                <c:pt idx="12">
                  <c:v>34459</c:v>
                </c:pt>
                <c:pt idx="13">
                  <c:v>34888</c:v>
                </c:pt>
                <c:pt idx="14">
                  <c:v>34943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-0.11009303931733434</c:v>
                </c:pt>
                <c:pt idx="1">
                  <c:v>2.7544048125205903E-2</c:v>
                </c:pt>
                <c:pt idx="2">
                  <c:v>3.1010495166790261E-2</c:v>
                </c:pt>
                <c:pt idx="3">
                  <c:v>3.1090244715292967E-2</c:v>
                </c:pt>
                <c:pt idx="4">
                  <c:v>4.3488641189180652E-2</c:v>
                </c:pt>
                <c:pt idx="5">
                  <c:v>4.9836705249996185E-2</c:v>
                </c:pt>
                <c:pt idx="6">
                  <c:v>6.2830565019370746E-2</c:v>
                </c:pt>
                <c:pt idx="7">
                  <c:v>6.4877470097606929E-2</c:v>
                </c:pt>
                <c:pt idx="8">
                  <c:v>6.5111402106548186E-2</c:v>
                </c:pt>
                <c:pt idx="9">
                  <c:v>6.5145960244232706E-2</c:v>
                </c:pt>
                <c:pt idx="10">
                  <c:v>7.1111226472235264E-2</c:v>
                </c:pt>
                <c:pt idx="11">
                  <c:v>7.1608331991235466E-2</c:v>
                </c:pt>
                <c:pt idx="12">
                  <c:v>7.3112940139653235E-2</c:v>
                </c:pt>
                <c:pt idx="13">
                  <c:v>7.5393777226830674E-2</c:v>
                </c:pt>
                <c:pt idx="14">
                  <c:v>7.568619223800728E-2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E0-40EF-9EDB-D7A4F1E7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869232"/>
        <c:axId val="1"/>
      </c:scatterChart>
      <c:valAx>
        <c:axId val="713869232"/>
        <c:scaling>
          <c:orientation val="minMax"/>
          <c:max val="31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869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06451612903226"/>
          <c:y val="0.92073298764483702"/>
          <c:w val="0.6741935483870968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381000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463EBFF-077B-9E7B-4071-1BBC0811F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85725</xdr:colOff>
      <xdr:row>0</xdr:row>
      <xdr:rowOff>0</xdr:rowOff>
    </xdr:from>
    <xdr:to>
      <xdr:col>25</xdr:col>
      <xdr:colOff>504825</xdr:colOff>
      <xdr:row>18</xdr:row>
      <xdr:rowOff>47625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25537F54-36C6-724E-EA9A-7B844F0AB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263" TargetMode="External"/><Relationship Id="rId5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var.astro.cz/oejv/issues/oejv0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46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24</v>
      </c>
      <c r="B2" s="9" t="s">
        <v>28</v>
      </c>
    </row>
    <row r="4" spans="1:6" ht="14.25" thickTop="1" thickBot="1" x14ac:dyDescent="0.25">
      <c r="A4" s="6" t="s">
        <v>0</v>
      </c>
      <c r="C4" s="3">
        <v>27368.392</v>
      </c>
      <c r="D4" s="4">
        <v>0.92965799999999998</v>
      </c>
    </row>
    <row r="5" spans="1:6" ht="13.5" thickTop="1" x14ac:dyDescent="0.2">
      <c r="A5" s="14" t="s">
        <v>33</v>
      </c>
      <c r="B5" s="9"/>
      <c r="C5" s="15">
        <v>-9.5</v>
      </c>
      <c r="D5" s="9" t="s">
        <v>34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27368.392</v>
      </c>
    </row>
    <row r="8" spans="1:6" x14ac:dyDescent="0.2">
      <c r="A8" t="s">
        <v>3</v>
      </c>
      <c r="C8">
        <f>+D4</f>
        <v>0.92965799999999998</v>
      </c>
    </row>
    <row r="9" spans="1:6" x14ac:dyDescent="0.2">
      <c r="A9" s="29" t="s">
        <v>38</v>
      </c>
      <c r="B9" s="30">
        <v>22</v>
      </c>
      <c r="C9" s="18" t="str">
        <f>"F"&amp;B9</f>
        <v>F22</v>
      </c>
      <c r="D9" s="19" t="str">
        <f>"G"&amp;B9</f>
        <v>G22</v>
      </c>
    </row>
    <row r="10" spans="1:6" ht="13.5" thickBot="1" x14ac:dyDescent="0.25">
      <c r="A10" s="9"/>
      <c r="B10" s="9"/>
      <c r="C10" s="5" t="s">
        <v>20</v>
      </c>
      <c r="D10" s="5" t="s">
        <v>21</v>
      </c>
      <c r="E10" s="9"/>
    </row>
    <row r="11" spans="1:6" x14ac:dyDescent="0.2">
      <c r="A11" s="9" t="s">
        <v>16</v>
      </c>
      <c r="B11" s="9"/>
      <c r="C11" s="16">
        <f ca="1">INTERCEPT(INDIRECT($D$9):G992,INDIRECT($C$9):F992)</f>
        <v>-0.11009303931733434</v>
      </c>
      <c r="D11" s="17"/>
      <c r="E11" s="9"/>
    </row>
    <row r="12" spans="1:6" x14ac:dyDescent="0.2">
      <c r="A12" s="9" t="s">
        <v>17</v>
      </c>
      <c r="B12" s="9"/>
      <c r="C12" s="16">
        <f ca="1">SLOPE(INDIRECT($D$9):G992,INDIRECT($C$9):F992)</f>
        <v>5.3166365668471972E-6</v>
      </c>
      <c r="D12" s="17"/>
      <c r="E12" s="9"/>
    </row>
    <row r="13" spans="1:6" x14ac:dyDescent="0.2">
      <c r="A13" s="9" t="s">
        <v>19</v>
      </c>
      <c r="B13" s="9"/>
      <c r="C13" s="17" t="s">
        <v>14</v>
      </c>
    </row>
    <row r="14" spans="1:6" x14ac:dyDescent="0.2">
      <c r="A14" s="9"/>
      <c r="B14" s="9"/>
      <c r="C14" s="9"/>
    </row>
    <row r="15" spans="1:6" x14ac:dyDescent="0.2">
      <c r="A15" s="20" t="s">
        <v>18</v>
      </c>
      <c r="B15" s="9"/>
      <c r="C15" s="21">
        <f ca="1">(C7+C11)+(C8+C12)*INT(MAX(F21:F3533))</f>
        <v>59853.507180192239</v>
      </c>
      <c r="E15" s="22" t="s">
        <v>42</v>
      </c>
      <c r="F15" s="15">
        <v>1</v>
      </c>
    </row>
    <row r="16" spans="1:6" x14ac:dyDescent="0.2">
      <c r="A16" s="24" t="s">
        <v>4</v>
      </c>
      <c r="B16" s="9"/>
      <c r="C16" s="25">
        <f ca="1">+C8+C12</f>
        <v>0.92966331663656687</v>
      </c>
      <c r="E16" s="22" t="s">
        <v>35</v>
      </c>
      <c r="F16" s="23">
        <f ca="1">NOW()+15018.5+$C$5/24</f>
        <v>60170.800019560185</v>
      </c>
    </row>
    <row r="17" spans="1:17" ht="13.5" thickBot="1" x14ac:dyDescent="0.25">
      <c r="A17" s="22" t="s">
        <v>31</v>
      </c>
      <c r="B17" s="9"/>
      <c r="C17" s="9">
        <f>COUNT(C21:C2191)</f>
        <v>15</v>
      </c>
      <c r="E17" s="22" t="s">
        <v>43</v>
      </c>
      <c r="F17" s="23">
        <f ca="1">ROUND(2*(F16-$C$7)/$C$8,0)/2+F15</f>
        <v>35285.5</v>
      </c>
    </row>
    <row r="18" spans="1:17" ht="14.25" thickTop="1" thickBot="1" x14ac:dyDescent="0.25">
      <c r="A18" s="24" t="s">
        <v>5</v>
      </c>
      <c r="B18" s="9"/>
      <c r="C18" s="27">
        <f ca="1">+C15</f>
        <v>59853.507180192239</v>
      </c>
      <c r="D18" s="28">
        <f ca="1">+C16</f>
        <v>0.92966331663656687</v>
      </c>
      <c r="E18" s="22" t="s">
        <v>36</v>
      </c>
      <c r="F18" s="19">
        <f ca="1">ROUND(2*(F16-$C$15)/$C$16,0)/2+F15</f>
        <v>342.5</v>
      </c>
    </row>
    <row r="19" spans="1:17" ht="13.5" thickTop="1" x14ac:dyDescent="0.2">
      <c r="E19" s="22" t="s">
        <v>37</v>
      </c>
      <c r="F19" s="26">
        <f ca="1">+$C$15+$C$16*F18-15018.5-$C$5/24</f>
        <v>45153.812699473601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51</v>
      </c>
      <c r="I20" s="8" t="s">
        <v>54</v>
      </c>
      <c r="J20" s="8" t="s">
        <v>48</v>
      </c>
      <c r="K20" s="8" t="s">
        <v>40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t="s">
        <v>12</v>
      </c>
      <c r="C21" s="55">
        <f>+C4</f>
        <v>27368.392</v>
      </c>
      <c r="D21" s="12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-0.11009303931733434</v>
      </c>
      <c r="Q21" s="2">
        <f t="shared" ref="Q21:Q26" si="4">+C21-15018.5</f>
        <v>12349.892</v>
      </c>
    </row>
    <row r="22" spans="1:17" x14ac:dyDescent="0.2">
      <c r="A22" s="10" t="s">
        <v>29</v>
      </c>
      <c r="B22" s="11" t="s">
        <v>30</v>
      </c>
      <c r="C22" s="56">
        <v>51435.409399999997</v>
      </c>
      <c r="D22" s="13">
        <v>2.5000000000000001E-3</v>
      </c>
      <c r="E22">
        <f t="shared" si="0"/>
        <v>25888.033448859685</v>
      </c>
      <c r="F22">
        <f t="shared" si="1"/>
        <v>25888</v>
      </c>
      <c r="G22">
        <f t="shared" si="2"/>
        <v>3.1095999998797197E-2</v>
      </c>
      <c r="K22">
        <f>+G22</f>
        <v>3.1095999998797197E-2</v>
      </c>
      <c r="O22">
        <f t="shared" ca="1" si="3"/>
        <v>2.7544048125205903E-2</v>
      </c>
      <c r="Q22" s="2">
        <f t="shared" si="4"/>
        <v>36416.909399999997</v>
      </c>
    </row>
    <row r="23" spans="1:17" x14ac:dyDescent="0.2">
      <c r="A23" s="31" t="s">
        <v>39</v>
      </c>
      <c r="B23" s="32" t="s">
        <v>30</v>
      </c>
      <c r="C23" s="57">
        <v>52041.545299999998</v>
      </c>
      <c r="D23" s="33" t="s">
        <v>40</v>
      </c>
      <c r="E23">
        <f t="shared" si="0"/>
        <v>26540.032248418232</v>
      </c>
      <c r="F23">
        <f t="shared" si="1"/>
        <v>26540</v>
      </c>
      <c r="G23">
        <f t="shared" si="2"/>
        <v>2.9979999999341089E-2</v>
      </c>
      <c r="K23">
        <f>+G23</f>
        <v>2.9979999999341089E-2</v>
      </c>
      <c r="O23">
        <f t="shared" ca="1" si="3"/>
        <v>3.1010495166790261E-2</v>
      </c>
      <c r="Q23" s="2">
        <f t="shared" si="4"/>
        <v>37023.045299999998</v>
      </c>
    </row>
    <row r="24" spans="1:17" x14ac:dyDescent="0.2">
      <c r="A24" s="31" t="s">
        <v>39</v>
      </c>
      <c r="B24" s="32" t="s">
        <v>30</v>
      </c>
      <c r="C24" s="57">
        <v>52055.493600000002</v>
      </c>
      <c r="D24" s="33" t="s">
        <v>40</v>
      </c>
      <c r="E24">
        <f t="shared" si="0"/>
        <v>26555.035937947076</v>
      </c>
      <c r="F24">
        <f t="shared" si="1"/>
        <v>26555</v>
      </c>
      <c r="G24">
        <f t="shared" si="2"/>
        <v>3.3410000003641471E-2</v>
      </c>
      <c r="K24">
        <f>+G24</f>
        <v>3.3410000003641471E-2</v>
      </c>
      <c r="O24">
        <f t="shared" ca="1" si="3"/>
        <v>3.1090244715292967E-2</v>
      </c>
      <c r="Q24" s="2">
        <f t="shared" si="4"/>
        <v>37036.993600000002</v>
      </c>
    </row>
    <row r="25" spans="1:17" x14ac:dyDescent="0.2">
      <c r="A25" s="34" t="s">
        <v>41</v>
      </c>
      <c r="B25" s="35" t="s">
        <v>30</v>
      </c>
      <c r="C25" s="58">
        <v>54223.464489999998</v>
      </c>
      <c r="D25" s="36">
        <v>2.9999999999999997E-4</v>
      </c>
      <c r="E25">
        <f t="shared" si="0"/>
        <v>28887.045010100486</v>
      </c>
      <c r="F25">
        <f t="shared" si="1"/>
        <v>28887</v>
      </c>
      <c r="G25">
        <f t="shared" si="2"/>
        <v>4.1843999999400694E-2</v>
      </c>
      <c r="K25">
        <f>+G25</f>
        <v>4.1843999999400694E-2</v>
      </c>
      <c r="O25">
        <f t="shared" ca="1" si="3"/>
        <v>4.3488641189180652E-2</v>
      </c>
      <c r="Q25" s="2">
        <f t="shared" si="4"/>
        <v>39204.964489999998</v>
      </c>
    </row>
    <row r="26" spans="1:17" x14ac:dyDescent="0.2">
      <c r="A26" s="37" t="s">
        <v>44</v>
      </c>
      <c r="B26" s="38" t="s">
        <v>30</v>
      </c>
      <c r="C26" s="59">
        <v>55333.477500000001</v>
      </c>
      <c r="D26" s="39">
        <v>4.0000000000000002E-4</v>
      </c>
      <c r="E26">
        <f t="shared" si="0"/>
        <v>30081.046470852725</v>
      </c>
      <c r="F26">
        <f t="shared" si="1"/>
        <v>30081</v>
      </c>
      <c r="G26">
        <f t="shared" si="2"/>
        <v>4.3202000000746921E-2</v>
      </c>
      <c r="J26">
        <f>+G26</f>
        <v>4.3202000000746921E-2</v>
      </c>
      <c r="O26">
        <f t="shared" ca="1" si="3"/>
        <v>4.9836705249996185E-2</v>
      </c>
      <c r="Q26" s="2">
        <f t="shared" si="4"/>
        <v>40314.977500000001</v>
      </c>
    </row>
    <row r="27" spans="1:17" x14ac:dyDescent="0.2">
      <c r="A27" s="53" t="s">
        <v>83</v>
      </c>
      <c r="B27" s="54" t="s">
        <v>30</v>
      </c>
      <c r="C27" s="60">
        <v>57605.577899999997</v>
      </c>
      <c r="D27" s="53">
        <v>3.5000000000000001E-3</v>
      </c>
      <c r="E27">
        <f t="shared" ref="E27:E35" si="5">+(C27-C$7)/C$8</f>
        <v>32525.063948247633</v>
      </c>
      <c r="F27">
        <f t="shared" ref="F27:F35" si="6">ROUND(2*E27,0)/2</f>
        <v>32525</v>
      </c>
      <c r="G27">
        <f t="shared" ref="G27:G35" si="7">+C27-(C$7+F27*C$8)</f>
        <v>5.9449999993375968E-2</v>
      </c>
      <c r="J27">
        <f t="shared" ref="J27:J35" si="8">+G27</f>
        <v>5.9449999993375968E-2</v>
      </c>
      <c r="O27">
        <f t="shared" ref="O27:O35" ca="1" si="9">+C$11+C$12*$F27</f>
        <v>6.2830565019370746E-2</v>
      </c>
      <c r="Q27" s="2">
        <f t="shared" ref="Q27:Q35" si="10">+C27-15018.5</f>
        <v>42587.077899999997</v>
      </c>
    </row>
    <row r="28" spans="1:17" x14ac:dyDescent="0.2">
      <c r="A28" s="53" t="s">
        <v>83</v>
      </c>
      <c r="B28" s="54" t="s">
        <v>30</v>
      </c>
      <c r="C28" s="60">
        <v>57963.5</v>
      </c>
      <c r="D28" s="53">
        <v>3.5000000000000001E-3</v>
      </c>
      <c r="E28">
        <f t="shared" si="5"/>
        <v>32910.068003502362</v>
      </c>
      <c r="F28">
        <f t="shared" si="6"/>
        <v>32910</v>
      </c>
      <c r="G28">
        <f t="shared" si="7"/>
        <v>6.3219999996363185E-2</v>
      </c>
      <c r="J28">
        <f t="shared" si="8"/>
        <v>6.3219999996363185E-2</v>
      </c>
      <c r="O28">
        <f t="shared" ca="1" si="9"/>
        <v>6.4877470097606929E-2</v>
      </c>
      <c r="Q28" s="2">
        <f t="shared" si="10"/>
        <v>42945</v>
      </c>
    </row>
    <row r="29" spans="1:17" x14ac:dyDescent="0.2">
      <c r="A29" s="53" t="s">
        <v>83</v>
      </c>
      <c r="B29" s="54" t="s">
        <v>30</v>
      </c>
      <c r="C29" s="60">
        <v>58004.405500000001</v>
      </c>
      <c r="D29" s="53">
        <v>3.5000000000000001E-3</v>
      </c>
      <c r="E29">
        <f t="shared" si="5"/>
        <v>32954.068592966447</v>
      </c>
      <c r="F29">
        <f t="shared" si="6"/>
        <v>32954</v>
      </c>
      <c r="G29">
        <f t="shared" si="7"/>
        <v>6.3767999999981839E-2</v>
      </c>
      <c r="J29">
        <f t="shared" si="8"/>
        <v>6.3767999999981839E-2</v>
      </c>
      <c r="O29">
        <f t="shared" ca="1" si="9"/>
        <v>6.5111402106548186E-2</v>
      </c>
      <c r="Q29" s="2">
        <f t="shared" si="10"/>
        <v>42985.905500000001</v>
      </c>
    </row>
    <row r="30" spans="1:17" x14ac:dyDescent="0.2">
      <c r="A30" s="53" t="s">
        <v>83</v>
      </c>
      <c r="B30" s="54" t="s">
        <v>30</v>
      </c>
      <c r="C30" s="60">
        <v>58010.454599999997</v>
      </c>
      <c r="D30" s="53">
        <v>3.5000000000000001E-3</v>
      </c>
      <c r="E30">
        <f t="shared" si="5"/>
        <v>32960.575394392341</v>
      </c>
      <c r="F30">
        <f t="shared" si="6"/>
        <v>32960.5</v>
      </c>
      <c r="G30">
        <f t="shared" si="7"/>
        <v>7.0091000001411885E-2</v>
      </c>
      <c r="J30">
        <f t="shared" si="8"/>
        <v>7.0091000001411885E-2</v>
      </c>
      <c r="O30">
        <f t="shared" ca="1" si="9"/>
        <v>6.5145960244232706E-2</v>
      </c>
      <c r="Q30" s="2">
        <f t="shared" si="10"/>
        <v>42991.954599999997</v>
      </c>
    </row>
    <row r="31" spans="1:17" x14ac:dyDescent="0.2">
      <c r="A31" s="53" t="s">
        <v>83</v>
      </c>
      <c r="B31" s="54" t="s">
        <v>30</v>
      </c>
      <c r="C31" s="60">
        <v>59053.536500000002</v>
      </c>
      <c r="D31" s="53">
        <v>3.5000000000000001E-3</v>
      </c>
      <c r="E31">
        <f t="shared" si="5"/>
        <v>34082.581443928844</v>
      </c>
      <c r="F31">
        <f t="shared" si="6"/>
        <v>34082.5</v>
      </c>
      <c r="G31">
        <f t="shared" si="7"/>
        <v>7.5714999999036081E-2</v>
      </c>
      <c r="J31">
        <f t="shared" si="8"/>
        <v>7.5714999999036081E-2</v>
      </c>
      <c r="O31">
        <f t="shared" ca="1" si="9"/>
        <v>7.1111226472235264E-2</v>
      </c>
      <c r="Q31" s="2">
        <f t="shared" si="10"/>
        <v>44035.036500000002</v>
      </c>
    </row>
    <row r="32" spans="1:17" x14ac:dyDescent="0.2">
      <c r="A32" s="53" t="s">
        <v>83</v>
      </c>
      <c r="B32" s="54" t="s">
        <v>30</v>
      </c>
      <c r="C32" s="60">
        <v>59140.454599999997</v>
      </c>
      <c r="D32" s="53">
        <v>3.5000000000000001E-3</v>
      </c>
      <c r="E32">
        <f t="shared" si="5"/>
        <v>34176.07614843308</v>
      </c>
      <c r="F32">
        <f t="shared" si="6"/>
        <v>34176</v>
      </c>
      <c r="G32">
        <f t="shared" si="7"/>
        <v>7.0791999998618849E-2</v>
      </c>
      <c r="J32">
        <f t="shared" si="8"/>
        <v>7.0791999998618849E-2</v>
      </c>
      <c r="O32">
        <f t="shared" ca="1" si="9"/>
        <v>7.1608331991235466E-2</v>
      </c>
      <c r="Q32" s="2">
        <f t="shared" si="10"/>
        <v>44121.954599999997</v>
      </c>
    </row>
    <row r="33" spans="1:17" x14ac:dyDescent="0.2">
      <c r="A33" s="53" t="s">
        <v>83</v>
      </c>
      <c r="B33" s="54" t="s">
        <v>30</v>
      </c>
      <c r="C33" s="60">
        <v>59403.550799999997</v>
      </c>
      <c r="D33" s="53">
        <v>3.5000000000000001E-3</v>
      </c>
      <c r="E33">
        <f t="shared" si="5"/>
        <v>34459.07936036693</v>
      </c>
      <c r="F33">
        <f t="shared" si="6"/>
        <v>34459</v>
      </c>
      <c r="G33">
        <f t="shared" si="7"/>
        <v>7.3777999998128507E-2</v>
      </c>
      <c r="J33">
        <f t="shared" si="8"/>
        <v>7.3777999998128507E-2</v>
      </c>
      <c r="O33">
        <f t="shared" ca="1" si="9"/>
        <v>7.3112940139653235E-2</v>
      </c>
      <c r="Q33" s="2">
        <f t="shared" si="10"/>
        <v>44385.050799999997</v>
      </c>
    </row>
    <row r="34" spans="1:17" x14ac:dyDescent="0.2">
      <c r="A34" s="53" t="s">
        <v>83</v>
      </c>
      <c r="B34" s="54" t="s">
        <v>30</v>
      </c>
      <c r="C34" s="60">
        <v>59802.375899999999</v>
      </c>
      <c r="D34" s="53">
        <v>3.5000000000000001E-3</v>
      </c>
      <c r="E34">
        <f t="shared" si="5"/>
        <v>34888.081315924777</v>
      </c>
      <c r="F34">
        <f t="shared" si="6"/>
        <v>34888</v>
      </c>
      <c r="G34">
        <f t="shared" si="7"/>
        <v>7.5595999995130114E-2</v>
      </c>
      <c r="J34">
        <f t="shared" si="8"/>
        <v>7.5595999995130114E-2</v>
      </c>
      <c r="O34">
        <f t="shared" ca="1" si="9"/>
        <v>7.5393777226830674E-2</v>
      </c>
      <c r="Q34" s="2">
        <f t="shared" si="10"/>
        <v>44783.875899999999</v>
      </c>
    </row>
    <row r="35" spans="1:17" x14ac:dyDescent="0.2">
      <c r="A35" s="53" t="s">
        <v>83</v>
      </c>
      <c r="B35" s="54" t="s">
        <v>30</v>
      </c>
      <c r="C35" s="60">
        <v>59853.507400000002</v>
      </c>
      <c r="D35" s="53">
        <v>3.5000000000000001E-3</v>
      </c>
      <c r="E35">
        <f t="shared" si="5"/>
        <v>34943.081649380743</v>
      </c>
      <c r="F35">
        <f t="shared" si="6"/>
        <v>34943</v>
      </c>
      <c r="G35">
        <f t="shared" si="7"/>
        <v>7.5905999998212792E-2</v>
      </c>
      <c r="J35">
        <f t="shared" si="8"/>
        <v>7.5905999998212792E-2</v>
      </c>
      <c r="O35">
        <f t="shared" ca="1" si="9"/>
        <v>7.568619223800728E-2</v>
      </c>
      <c r="Q35" s="2">
        <f t="shared" si="10"/>
        <v>44835.007400000002</v>
      </c>
    </row>
    <row r="36" spans="1:17" x14ac:dyDescent="0.2">
      <c r="C36" s="12"/>
      <c r="D36" s="12"/>
    </row>
    <row r="37" spans="1:17" x14ac:dyDescent="0.2">
      <c r="C37" s="12"/>
      <c r="D37" s="12"/>
    </row>
    <row r="38" spans="1:17" x14ac:dyDescent="0.2">
      <c r="C38" s="12"/>
      <c r="D38" s="12"/>
    </row>
    <row r="39" spans="1:17" x14ac:dyDescent="0.2">
      <c r="C39" s="12"/>
      <c r="D39" s="12"/>
    </row>
    <row r="40" spans="1:17" x14ac:dyDescent="0.2">
      <c r="C40" s="12"/>
      <c r="D40" s="12"/>
    </row>
    <row r="41" spans="1:17" x14ac:dyDescent="0.2">
      <c r="C41" s="12"/>
      <c r="D41" s="12"/>
    </row>
    <row r="42" spans="1:17" x14ac:dyDescent="0.2">
      <c r="C42" s="12"/>
      <c r="D42" s="12"/>
    </row>
    <row r="43" spans="1:17" x14ac:dyDescent="0.2">
      <c r="C43" s="12"/>
      <c r="D43" s="12"/>
    </row>
    <row r="44" spans="1:17" x14ac:dyDescent="0.2">
      <c r="C44" s="12"/>
      <c r="D44" s="12"/>
    </row>
    <row r="45" spans="1:17" x14ac:dyDescent="0.2">
      <c r="C45" s="12"/>
      <c r="D45" s="12"/>
    </row>
    <row r="46" spans="1:17" x14ac:dyDescent="0.2">
      <c r="C46" s="12"/>
      <c r="D46" s="12"/>
    </row>
    <row r="47" spans="1:17" x14ac:dyDescent="0.2">
      <c r="C47" s="12"/>
      <c r="D47" s="12"/>
    </row>
    <row r="48" spans="1:17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9"/>
  <sheetViews>
    <sheetView workbookViewId="0">
      <selection activeCell="A15" sqref="A15:D15"/>
    </sheetView>
  </sheetViews>
  <sheetFormatPr defaultRowHeight="12.75" x14ac:dyDescent="0.2"/>
  <cols>
    <col min="1" max="1" width="19.7109375" style="12" customWidth="1"/>
    <col min="2" max="2" width="4.42578125" style="9" customWidth="1"/>
    <col min="3" max="3" width="12.7109375" style="12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2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40" t="s">
        <v>45</v>
      </c>
      <c r="I1" s="41" t="s">
        <v>46</v>
      </c>
      <c r="J1" s="42" t="s">
        <v>40</v>
      </c>
    </row>
    <row r="2" spans="1:16" x14ac:dyDescent="0.2">
      <c r="I2" s="43" t="s">
        <v>47</v>
      </c>
      <c r="J2" s="44" t="s">
        <v>48</v>
      </c>
    </row>
    <row r="3" spans="1:16" x14ac:dyDescent="0.2">
      <c r="A3" s="45" t="s">
        <v>49</v>
      </c>
      <c r="I3" s="43" t="s">
        <v>50</v>
      </c>
      <c r="J3" s="44" t="s">
        <v>51</v>
      </c>
    </row>
    <row r="4" spans="1:16" x14ac:dyDescent="0.2">
      <c r="I4" s="43" t="s">
        <v>52</v>
      </c>
      <c r="J4" s="44" t="s">
        <v>51</v>
      </c>
    </row>
    <row r="5" spans="1:16" ht="13.5" thickBot="1" x14ac:dyDescent="0.25">
      <c r="I5" s="46" t="s">
        <v>53</v>
      </c>
      <c r="J5" s="47" t="s">
        <v>54</v>
      </c>
    </row>
    <row r="10" spans="1:16" ht="13.5" thickBot="1" x14ac:dyDescent="0.25"/>
    <row r="11" spans="1:16" ht="12.75" customHeight="1" thickBot="1" x14ac:dyDescent="0.25">
      <c r="A11" s="12" t="str">
        <f>P11</f>
        <v>IBVS 5263 </v>
      </c>
      <c r="B11" s="17" t="str">
        <f>IF(H11=INT(H11),"I","II")</f>
        <v>I</v>
      </c>
      <c r="C11" s="12">
        <f>1*G11</f>
        <v>51435.409399999997</v>
      </c>
      <c r="D11" s="9" t="str">
        <f>VLOOKUP(F11,I$1:J$5,2,FALSE)</f>
        <v>vis</v>
      </c>
      <c r="E11" s="48">
        <f>VLOOKUP(C11,Active!C$21:E$973,3,FALSE)</f>
        <v>25888.033448859685</v>
      </c>
      <c r="F11" s="17" t="s">
        <v>53</v>
      </c>
      <c r="G11" s="9" t="str">
        <f>MID(I11,3,LEN(I11)-3)</f>
        <v>51435.4094</v>
      </c>
      <c r="H11" s="12">
        <f>1*K11</f>
        <v>25888</v>
      </c>
      <c r="I11" s="49" t="s">
        <v>55</v>
      </c>
      <c r="J11" s="50" t="s">
        <v>56</v>
      </c>
      <c r="K11" s="49">
        <v>25888</v>
      </c>
      <c r="L11" s="49" t="s">
        <v>57</v>
      </c>
      <c r="M11" s="50" t="s">
        <v>58</v>
      </c>
      <c r="N11" s="50" t="s">
        <v>59</v>
      </c>
      <c r="O11" s="51" t="s">
        <v>60</v>
      </c>
      <c r="P11" s="52" t="s">
        <v>61</v>
      </c>
    </row>
    <row r="12" spans="1:16" ht="12.75" customHeight="1" thickBot="1" x14ac:dyDescent="0.25">
      <c r="A12" s="12" t="str">
        <f>P12</f>
        <v>OEJV 0074 </v>
      </c>
      <c r="B12" s="17" t="str">
        <f>IF(H12=INT(H12),"I","II")</f>
        <v>I</v>
      </c>
      <c r="C12" s="12">
        <f>1*G12</f>
        <v>52041.545299999998</v>
      </c>
      <c r="D12" s="9" t="str">
        <f>VLOOKUP(F12,I$1:J$5,2,FALSE)</f>
        <v>vis</v>
      </c>
      <c r="E12" s="48">
        <f>VLOOKUP(C12,Active!C$21:E$973,3,FALSE)</f>
        <v>26540.032248418232</v>
      </c>
      <c r="F12" s="17" t="s">
        <v>53</v>
      </c>
      <c r="G12" s="9" t="str">
        <f>MID(I12,3,LEN(I12)-3)</f>
        <v>52041.54530</v>
      </c>
      <c r="H12" s="12">
        <f>1*K12</f>
        <v>26540</v>
      </c>
      <c r="I12" s="49" t="s">
        <v>62</v>
      </c>
      <c r="J12" s="50" t="s">
        <v>63</v>
      </c>
      <c r="K12" s="49">
        <v>26540</v>
      </c>
      <c r="L12" s="49" t="s">
        <v>64</v>
      </c>
      <c r="M12" s="50" t="s">
        <v>65</v>
      </c>
      <c r="N12" s="50" t="s">
        <v>66</v>
      </c>
      <c r="O12" s="51" t="s">
        <v>67</v>
      </c>
      <c r="P12" s="52" t="s">
        <v>68</v>
      </c>
    </row>
    <row r="13" spans="1:16" ht="12.75" customHeight="1" thickBot="1" x14ac:dyDescent="0.25">
      <c r="A13" s="12" t="str">
        <f>P13</f>
        <v>OEJV 0074 </v>
      </c>
      <c r="B13" s="17" t="str">
        <f>IF(H13=INT(H13),"I","II")</f>
        <v>I</v>
      </c>
      <c r="C13" s="12">
        <f>1*G13</f>
        <v>52055.493600000002</v>
      </c>
      <c r="D13" s="9" t="str">
        <f>VLOOKUP(F13,I$1:J$5,2,FALSE)</f>
        <v>vis</v>
      </c>
      <c r="E13" s="48">
        <f>VLOOKUP(C13,Active!C$21:E$973,3,FALSE)</f>
        <v>26555.035937947076</v>
      </c>
      <c r="F13" s="17" t="s">
        <v>53</v>
      </c>
      <c r="G13" s="9" t="str">
        <f>MID(I13,3,LEN(I13)-3)</f>
        <v>52055.49360</v>
      </c>
      <c r="H13" s="12">
        <f>1*K13</f>
        <v>26555</v>
      </c>
      <c r="I13" s="49" t="s">
        <v>69</v>
      </c>
      <c r="J13" s="50" t="s">
        <v>70</v>
      </c>
      <c r="K13" s="49">
        <v>26555</v>
      </c>
      <c r="L13" s="49" t="s">
        <v>71</v>
      </c>
      <c r="M13" s="50" t="s">
        <v>65</v>
      </c>
      <c r="N13" s="50" t="s">
        <v>66</v>
      </c>
      <c r="O13" s="51" t="s">
        <v>67</v>
      </c>
      <c r="P13" s="52" t="s">
        <v>68</v>
      </c>
    </row>
    <row r="14" spans="1:16" ht="12.75" customHeight="1" thickBot="1" x14ac:dyDescent="0.25">
      <c r="A14" s="12" t="str">
        <f>P14</f>
        <v>BAVM 234 </v>
      </c>
      <c r="B14" s="17" t="str">
        <f>IF(H14=INT(H14),"I","II")</f>
        <v>I</v>
      </c>
      <c r="C14" s="12">
        <f>1*G14</f>
        <v>55333.477500000001</v>
      </c>
      <c r="D14" s="9" t="str">
        <f>VLOOKUP(F14,I$1:J$5,2,FALSE)</f>
        <v>vis</v>
      </c>
      <c r="E14" s="48">
        <f>VLOOKUP(C14,Active!C$21:E$973,3,FALSE)</f>
        <v>30081.046470852725</v>
      </c>
      <c r="F14" s="17" t="s">
        <v>53</v>
      </c>
      <c r="G14" s="9" t="str">
        <f>MID(I14,3,LEN(I14)-3)</f>
        <v>55333.4775</v>
      </c>
      <c r="H14" s="12">
        <f>1*K14</f>
        <v>30081</v>
      </c>
      <c r="I14" s="49" t="s">
        <v>78</v>
      </c>
      <c r="J14" s="50" t="s">
        <v>79</v>
      </c>
      <c r="K14" s="49">
        <v>30081</v>
      </c>
      <c r="L14" s="49" t="s">
        <v>80</v>
      </c>
      <c r="M14" s="50" t="s">
        <v>65</v>
      </c>
      <c r="N14" s="50" t="s">
        <v>66</v>
      </c>
      <c r="O14" s="51" t="s">
        <v>81</v>
      </c>
      <c r="P14" s="52" t="s">
        <v>82</v>
      </c>
    </row>
    <row r="15" spans="1:16" ht="12.75" customHeight="1" thickBot="1" x14ac:dyDescent="0.25">
      <c r="A15" s="12" t="str">
        <f>P15</f>
        <v>OEJV 0107 </v>
      </c>
      <c r="B15" s="17" t="str">
        <f>IF(H15=INT(H15),"I","II")</f>
        <v>I</v>
      </c>
      <c r="C15" s="12">
        <f>1*G15</f>
        <v>54223.464399999997</v>
      </c>
      <c r="D15" s="9" t="str">
        <f>VLOOKUP(F15,I$1:J$5,2,FALSE)</f>
        <v>vis</v>
      </c>
      <c r="E15" s="48" t="e">
        <f>VLOOKUP(C15,Active!C$21:E$973,3,FALSE)</f>
        <v>#N/A</v>
      </c>
      <c r="F15" s="17" t="s">
        <v>53</v>
      </c>
      <c r="G15" s="9" t="str">
        <f>MID(I15,3,LEN(I15)-3)</f>
        <v>54223.4644</v>
      </c>
      <c r="H15" s="12">
        <f>1*K15</f>
        <v>28887</v>
      </c>
      <c r="I15" s="49" t="s">
        <v>72</v>
      </c>
      <c r="J15" s="50" t="s">
        <v>73</v>
      </c>
      <c r="K15" s="49">
        <v>28887</v>
      </c>
      <c r="L15" s="49" t="s">
        <v>74</v>
      </c>
      <c r="M15" s="50" t="s">
        <v>65</v>
      </c>
      <c r="N15" s="50" t="s">
        <v>75</v>
      </c>
      <c r="O15" s="51" t="s">
        <v>76</v>
      </c>
      <c r="P15" s="52" t="s">
        <v>77</v>
      </c>
    </row>
    <row r="16" spans="1:16" x14ac:dyDescent="0.2">
      <c r="B16" s="17"/>
      <c r="F16" s="17"/>
    </row>
    <row r="17" spans="2:6" x14ac:dyDescent="0.2">
      <c r="B17" s="17"/>
      <c r="F17" s="17"/>
    </row>
    <row r="18" spans="2:6" x14ac:dyDescent="0.2">
      <c r="B18" s="17"/>
      <c r="F18" s="17"/>
    </row>
    <row r="19" spans="2:6" x14ac:dyDescent="0.2">
      <c r="B19" s="17"/>
      <c r="F19" s="17"/>
    </row>
    <row r="20" spans="2:6" x14ac:dyDescent="0.2">
      <c r="B20" s="17"/>
      <c r="F20" s="17"/>
    </row>
    <row r="21" spans="2:6" x14ac:dyDescent="0.2">
      <c r="B21" s="17"/>
      <c r="F21" s="17"/>
    </row>
    <row r="22" spans="2:6" x14ac:dyDescent="0.2">
      <c r="B22" s="17"/>
      <c r="F22" s="17"/>
    </row>
    <row r="23" spans="2:6" x14ac:dyDescent="0.2">
      <c r="B23" s="17"/>
      <c r="F23" s="17"/>
    </row>
    <row r="24" spans="2:6" x14ac:dyDescent="0.2">
      <c r="B24" s="17"/>
      <c r="F24" s="17"/>
    </row>
    <row r="25" spans="2:6" x14ac:dyDescent="0.2">
      <c r="B25" s="17"/>
      <c r="F25" s="17"/>
    </row>
    <row r="26" spans="2:6" x14ac:dyDescent="0.2">
      <c r="B26" s="17"/>
      <c r="F26" s="17"/>
    </row>
    <row r="27" spans="2:6" x14ac:dyDescent="0.2">
      <c r="B27" s="17"/>
      <c r="F27" s="17"/>
    </row>
    <row r="28" spans="2:6" x14ac:dyDescent="0.2">
      <c r="B28" s="17"/>
      <c r="F28" s="17"/>
    </row>
    <row r="29" spans="2:6" x14ac:dyDescent="0.2">
      <c r="B29" s="17"/>
      <c r="F29" s="17"/>
    </row>
    <row r="30" spans="2:6" x14ac:dyDescent="0.2">
      <c r="B30" s="17"/>
      <c r="F30" s="17"/>
    </row>
    <row r="31" spans="2:6" x14ac:dyDescent="0.2">
      <c r="B31" s="17"/>
      <c r="F31" s="17"/>
    </row>
    <row r="32" spans="2:6" x14ac:dyDescent="0.2">
      <c r="B32" s="17"/>
      <c r="F32" s="17"/>
    </row>
    <row r="33" spans="2:6" x14ac:dyDescent="0.2">
      <c r="B33" s="17"/>
      <c r="F33" s="17"/>
    </row>
    <row r="34" spans="2:6" x14ac:dyDescent="0.2">
      <c r="B34" s="17"/>
      <c r="F34" s="17"/>
    </row>
    <row r="35" spans="2:6" x14ac:dyDescent="0.2">
      <c r="B35" s="17"/>
      <c r="F35" s="17"/>
    </row>
    <row r="36" spans="2:6" x14ac:dyDescent="0.2">
      <c r="B36" s="17"/>
      <c r="F36" s="17"/>
    </row>
    <row r="37" spans="2:6" x14ac:dyDescent="0.2">
      <c r="B37" s="17"/>
      <c r="F37" s="17"/>
    </row>
    <row r="38" spans="2:6" x14ac:dyDescent="0.2">
      <c r="B38" s="17"/>
      <c r="F38" s="17"/>
    </row>
    <row r="39" spans="2:6" x14ac:dyDescent="0.2">
      <c r="B39" s="17"/>
      <c r="F39" s="17"/>
    </row>
    <row r="40" spans="2:6" x14ac:dyDescent="0.2">
      <c r="B40" s="17"/>
      <c r="F40" s="17"/>
    </row>
    <row r="41" spans="2:6" x14ac:dyDescent="0.2">
      <c r="B41" s="17"/>
      <c r="F41" s="17"/>
    </row>
    <row r="42" spans="2:6" x14ac:dyDescent="0.2">
      <c r="B42" s="17"/>
      <c r="F42" s="17"/>
    </row>
    <row r="43" spans="2:6" x14ac:dyDescent="0.2">
      <c r="B43" s="17"/>
      <c r="F43" s="17"/>
    </row>
    <row r="44" spans="2:6" x14ac:dyDescent="0.2">
      <c r="B44" s="17"/>
      <c r="F44" s="17"/>
    </row>
    <row r="45" spans="2:6" x14ac:dyDescent="0.2">
      <c r="B45" s="17"/>
      <c r="F45" s="17"/>
    </row>
    <row r="46" spans="2:6" x14ac:dyDescent="0.2">
      <c r="B46" s="17"/>
      <c r="F46" s="17"/>
    </row>
    <row r="47" spans="2:6" x14ac:dyDescent="0.2">
      <c r="B47" s="17"/>
      <c r="F47" s="17"/>
    </row>
    <row r="48" spans="2:6" x14ac:dyDescent="0.2">
      <c r="B48" s="17"/>
      <c r="F48" s="17"/>
    </row>
    <row r="49" spans="2:6" x14ac:dyDescent="0.2">
      <c r="B49" s="17"/>
      <c r="F49" s="17"/>
    </row>
    <row r="50" spans="2:6" x14ac:dyDescent="0.2">
      <c r="B50" s="17"/>
      <c r="F50" s="17"/>
    </row>
    <row r="51" spans="2:6" x14ac:dyDescent="0.2">
      <c r="B51" s="17"/>
      <c r="F51" s="17"/>
    </row>
    <row r="52" spans="2:6" x14ac:dyDescent="0.2">
      <c r="B52" s="17"/>
      <c r="F52" s="17"/>
    </row>
    <row r="53" spans="2:6" x14ac:dyDescent="0.2">
      <c r="B53" s="17"/>
      <c r="F53" s="17"/>
    </row>
    <row r="54" spans="2:6" x14ac:dyDescent="0.2">
      <c r="B54" s="17"/>
      <c r="F54" s="17"/>
    </row>
    <row r="55" spans="2:6" x14ac:dyDescent="0.2">
      <c r="B55" s="17"/>
      <c r="F55" s="17"/>
    </row>
    <row r="56" spans="2:6" x14ac:dyDescent="0.2">
      <c r="B56" s="17"/>
      <c r="F56" s="17"/>
    </row>
    <row r="57" spans="2:6" x14ac:dyDescent="0.2">
      <c r="B57" s="17"/>
      <c r="F57" s="17"/>
    </row>
    <row r="58" spans="2:6" x14ac:dyDescent="0.2">
      <c r="B58" s="17"/>
      <c r="F58" s="17"/>
    </row>
    <row r="59" spans="2:6" x14ac:dyDescent="0.2">
      <c r="B59" s="17"/>
      <c r="F59" s="17"/>
    </row>
    <row r="60" spans="2:6" x14ac:dyDescent="0.2">
      <c r="B60" s="17"/>
      <c r="F60" s="17"/>
    </row>
    <row r="61" spans="2:6" x14ac:dyDescent="0.2">
      <c r="B61" s="17"/>
      <c r="F61" s="17"/>
    </row>
    <row r="62" spans="2:6" x14ac:dyDescent="0.2">
      <c r="B62" s="17"/>
      <c r="F62" s="17"/>
    </row>
    <row r="63" spans="2:6" x14ac:dyDescent="0.2">
      <c r="B63" s="17"/>
      <c r="F63" s="17"/>
    </row>
    <row r="64" spans="2:6" x14ac:dyDescent="0.2">
      <c r="B64" s="17"/>
      <c r="F64" s="17"/>
    </row>
    <row r="65" spans="2:6" x14ac:dyDescent="0.2">
      <c r="B65" s="17"/>
      <c r="F65" s="17"/>
    </row>
    <row r="66" spans="2:6" x14ac:dyDescent="0.2">
      <c r="B66" s="17"/>
      <c r="F66" s="17"/>
    </row>
    <row r="67" spans="2:6" x14ac:dyDescent="0.2">
      <c r="B67" s="17"/>
      <c r="F67" s="17"/>
    </row>
    <row r="68" spans="2:6" x14ac:dyDescent="0.2">
      <c r="B68" s="17"/>
      <c r="F68" s="17"/>
    </row>
    <row r="69" spans="2:6" x14ac:dyDescent="0.2">
      <c r="B69" s="17"/>
      <c r="F69" s="17"/>
    </row>
    <row r="70" spans="2:6" x14ac:dyDescent="0.2">
      <c r="B70" s="17"/>
      <c r="F70" s="17"/>
    </row>
    <row r="71" spans="2:6" x14ac:dyDescent="0.2">
      <c r="B71" s="17"/>
      <c r="F71" s="17"/>
    </row>
    <row r="72" spans="2:6" x14ac:dyDescent="0.2">
      <c r="B72" s="17"/>
      <c r="F72" s="17"/>
    </row>
    <row r="73" spans="2:6" x14ac:dyDescent="0.2">
      <c r="B73" s="17"/>
      <c r="F73" s="17"/>
    </row>
    <row r="74" spans="2:6" x14ac:dyDescent="0.2">
      <c r="B74" s="17"/>
      <c r="F74" s="17"/>
    </row>
    <row r="75" spans="2:6" x14ac:dyDescent="0.2">
      <c r="B75" s="17"/>
      <c r="F75" s="17"/>
    </row>
    <row r="76" spans="2:6" x14ac:dyDescent="0.2">
      <c r="B76" s="17"/>
      <c r="F76" s="17"/>
    </row>
    <row r="77" spans="2:6" x14ac:dyDescent="0.2">
      <c r="B77" s="17"/>
      <c r="F77" s="17"/>
    </row>
    <row r="78" spans="2:6" x14ac:dyDescent="0.2">
      <c r="B78" s="17"/>
      <c r="F78" s="17"/>
    </row>
    <row r="79" spans="2:6" x14ac:dyDescent="0.2">
      <c r="B79" s="17"/>
      <c r="F79" s="17"/>
    </row>
    <row r="80" spans="2:6" x14ac:dyDescent="0.2">
      <c r="B80" s="17"/>
      <c r="F80" s="17"/>
    </row>
    <row r="81" spans="2:6" x14ac:dyDescent="0.2">
      <c r="B81" s="17"/>
      <c r="F81" s="17"/>
    </row>
    <row r="82" spans="2:6" x14ac:dyDescent="0.2">
      <c r="B82" s="17"/>
      <c r="F82" s="17"/>
    </row>
    <row r="83" spans="2:6" x14ac:dyDescent="0.2">
      <c r="B83" s="17"/>
      <c r="F83" s="17"/>
    </row>
    <row r="84" spans="2:6" x14ac:dyDescent="0.2">
      <c r="B84" s="17"/>
      <c r="F84" s="17"/>
    </row>
    <row r="85" spans="2:6" x14ac:dyDescent="0.2">
      <c r="B85" s="1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</sheetData>
  <phoneticPr fontId="7" type="noConversion"/>
  <hyperlinks>
    <hyperlink ref="P11" r:id="rId1" display="http://www.konkoly.hu/cgi-bin/IBVS?5263"/>
    <hyperlink ref="P12" r:id="rId2" display="http://var.astro.cz/oejv/issues/oejv0074.pdf"/>
    <hyperlink ref="P13" r:id="rId3" display="http://var.astro.cz/oejv/issues/oejv0074.pdf"/>
    <hyperlink ref="P15" r:id="rId4" display="http://var.astro.cz/oejv/issues/oejv0107.pdf"/>
    <hyperlink ref="P14" r:id="rId5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2023-08-14T07:12:01Z</dcterms:modified>
</cp:coreProperties>
</file>