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65BDC7A-E281-4E39-BE3E-07BE7551BEEC}" xr6:coauthVersionLast="47" xr6:coauthVersionMax="47" xr10:uidLastSave="{00000000-0000-0000-0000-000000000000}"/>
  <bookViews>
    <workbookView xWindow="13290" yWindow="480" windowWidth="12975" windowHeight="14640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1" l="1"/>
  <c r="F43" i="1" s="1"/>
  <c r="P43" i="1"/>
  <c r="E44" i="1"/>
  <c r="F44" i="1" s="1"/>
  <c r="P44" i="1"/>
  <c r="D11" i="1"/>
  <c r="D12" i="1"/>
  <c r="D13" i="1"/>
  <c r="E9" i="1"/>
  <c r="D9" i="1"/>
  <c r="E25" i="1"/>
  <c r="F25" i="1"/>
  <c r="E26" i="1"/>
  <c r="F26" i="1" s="1"/>
  <c r="E27" i="1"/>
  <c r="F27" i="1" s="1"/>
  <c r="E28" i="1"/>
  <c r="F28" i="1"/>
  <c r="G28" i="1" s="1"/>
  <c r="E29" i="1"/>
  <c r="F29" i="1"/>
  <c r="G29" i="1" s="1"/>
  <c r="I29" i="1" s="1"/>
  <c r="E30" i="1"/>
  <c r="F30" i="1" s="1"/>
  <c r="E31" i="1"/>
  <c r="F31" i="1"/>
  <c r="E32" i="1"/>
  <c r="F32" i="1"/>
  <c r="G32" i="1"/>
  <c r="J32" i="1" s="1"/>
  <c r="E33" i="1"/>
  <c r="F33" i="1" s="1"/>
  <c r="E34" i="1"/>
  <c r="F34" i="1"/>
  <c r="E35" i="1"/>
  <c r="F35" i="1" s="1"/>
  <c r="E36" i="1"/>
  <c r="F36" i="1"/>
  <c r="G36" i="1" s="1"/>
  <c r="J36" i="1" s="1"/>
  <c r="E37" i="1"/>
  <c r="F37" i="1"/>
  <c r="E38" i="1"/>
  <c r="F38" i="1"/>
  <c r="G38" i="1" s="1"/>
  <c r="E39" i="1"/>
  <c r="F39" i="1"/>
  <c r="G39" i="1" s="1"/>
  <c r="J39" i="1" s="1"/>
  <c r="E40" i="1"/>
  <c r="F40" i="1" s="1"/>
  <c r="E41" i="1"/>
  <c r="F41" i="1" s="1"/>
  <c r="E42" i="1"/>
  <c r="F42" i="1"/>
  <c r="O42" i="1" s="1"/>
  <c r="E21" i="1"/>
  <c r="F21" i="1" s="1"/>
  <c r="E22" i="1"/>
  <c r="F22" i="1"/>
  <c r="G22" i="1"/>
  <c r="E23" i="1"/>
  <c r="F23" i="1"/>
  <c r="E24" i="1"/>
  <c r="F24" i="1" s="1"/>
  <c r="G29" i="2"/>
  <c r="C29" i="2" s="1"/>
  <c r="E29" i="2" s="1"/>
  <c r="G28" i="2"/>
  <c r="C28" i="2" s="1"/>
  <c r="E28" i="2" s="1"/>
  <c r="G27" i="2"/>
  <c r="C27" i="2" s="1"/>
  <c r="E27" i="2" s="1"/>
  <c r="G26" i="2"/>
  <c r="C26" i="2" s="1"/>
  <c r="E26" i="2" s="1"/>
  <c r="G25" i="2"/>
  <c r="C25" i="2"/>
  <c r="E25" i="2" s="1"/>
  <c r="G24" i="2"/>
  <c r="C24" i="2"/>
  <c r="E24" i="2" s="1"/>
  <c r="G23" i="2"/>
  <c r="C23" i="2" s="1"/>
  <c r="E23" i="2" s="1"/>
  <c r="G22" i="2"/>
  <c r="C22" i="2" s="1"/>
  <c r="E22" i="2" s="1"/>
  <c r="G21" i="2"/>
  <c r="C21" i="2" s="1"/>
  <c r="E21" i="2" s="1"/>
  <c r="G20" i="2"/>
  <c r="C20" i="2" s="1"/>
  <c r="E20" i="2" s="1"/>
  <c r="G19" i="2"/>
  <c r="C19" i="2" s="1"/>
  <c r="E19" i="2" s="1"/>
  <c r="G18" i="2"/>
  <c r="C18" i="2" s="1"/>
  <c r="E18" i="2" s="1"/>
  <c r="G17" i="2"/>
  <c r="C17" i="2"/>
  <c r="E17" i="2" s="1"/>
  <c r="G16" i="2"/>
  <c r="C16" i="2"/>
  <c r="E16" i="2" s="1"/>
  <c r="G15" i="2"/>
  <c r="C15" i="2" s="1"/>
  <c r="E15" i="2" s="1"/>
  <c r="G14" i="2"/>
  <c r="C14" i="2" s="1"/>
  <c r="E14" i="2" s="1"/>
  <c r="G13" i="2"/>
  <c r="C13" i="2" s="1"/>
  <c r="E13" i="2" s="1"/>
  <c r="G12" i="2"/>
  <c r="C12" i="2" s="1"/>
  <c r="E12" i="2" s="1"/>
  <c r="G11" i="2"/>
  <c r="C11" i="2" s="1"/>
  <c r="E11" i="2" s="1"/>
  <c r="H29" i="2"/>
  <c r="B29" i="2" s="1"/>
  <c r="D29" i="2"/>
  <c r="A29" i="2"/>
  <c r="H28" i="2"/>
  <c r="B28" i="2" s="1"/>
  <c r="D28" i="2"/>
  <c r="A28" i="2"/>
  <c r="H27" i="2"/>
  <c r="B27" i="2" s="1"/>
  <c r="D27" i="2"/>
  <c r="A27" i="2"/>
  <c r="H26" i="2"/>
  <c r="B26" i="2" s="1"/>
  <c r="D26" i="2"/>
  <c r="A26" i="2"/>
  <c r="H25" i="2"/>
  <c r="B25" i="2" s="1"/>
  <c r="D25" i="2"/>
  <c r="A25" i="2"/>
  <c r="H24" i="2"/>
  <c r="B24" i="2" s="1"/>
  <c r="D24" i="2"/>
  <c r="A24" i="2"/>
  <c r="H23" i="2"/>
  <c r="B23" i="2" s="1"/>
  <c r="D23" i="2"/>
  <c r="A23" i="2"/>
  <c r="H22" i="2"/>
  <c r="B22" i="2" s="1"/>
  <c r="D22" i="2"/>
  <c r="A22" i="2"/>
  <c r="H21" i="2"/>
  <c r="B21" i="2" s="1"/>
  <c r="D21" i="2"/>
  <c r="A21" i="2"/>
  <c r="H20" i="2"/>
  <c r="B20" i="2" s="1"/>
  <c r="D20" i="2"/>
  <c r="A20" i="2"/>
  <c r="H19" i="2"/>
  <c r="B19" i="2" s="1"/>
  <c r="D19" i="2"/>
  <c r="A19" i="2"/>
  <c r="H18" i="2"/>
  <c r="B18" i="2" s="1"/>
  <c r="D18" i="2"/>
  <c r="A18" i="2"/>
  <c r="H17" i="2"/>
  <c r="B17" i="2" s="1"/>
  <c r="D17" i="2"/>
  <c r="A17" i="2"/>
  <c r="H16" i="2"/>
  <c r="B16" i="2" s="1"/>
  <c r="D16" i="2"/>
  <c r="A16" i="2"/>
  <c r="H15" i="2"/>
  <c r="B15" i="2" s="1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11" i="2"/>
  <c r="B11" i="2" s="1"/>
  <c r="D11" i="2"/>
  <c r="A11" i="2"/>
  <c r="P41" i="1"/>
  <c r="P42" i="1"/>
  <c r="P40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O22" i="1"/>
  <c r="O28" i="1"/>
  <c r="O32" i="1"/>
  <c r="Q32" i="1" s="1"/>
  <c r="T32" i="1" s="1"/>
  <c r="O38" i="1"/>
  <c r="P21" i="1"/>
  <c r="F16" i="1"/>
  <c r="F17" i="1" s="1"/>
  <c r="P24" i="1"/>
  <c r="P23" i="1"/>
  <c r="P22" i="1"/>
  <c r="P35" i="1"/>
  <c r="P36" i="1"/>
  <c r="P37" i="1"/>
  <c r="P38" i="1"/>
  <c r="P39" i="1"/>
  <c r="C17" i="1"/>
  <c r="P26" i="1"/>
  <c r="P27" i="1"/>
  <c r="P28" i="1"/>
  <c r="P29" i="1"/>
  <c r="P30" i="1"/>
  <c r="P31" i="1"/>
  <c r="P32" i="1"/>
  <c r="P33" i="1"/>
  <c r="P34" i="1"/>
  <c r="P25" i="1"/>
  <c r="O39" i="1"/>
  <c r="Q39" i="1" s="1"/>
  <c r="T39" i="1" s="1"/>
  <c r="Q22" i="1"/>
  <c r="T22" i="1" s="1"/>
  <c r="I22" i="1"/>
  <c r="G37" i="1"/>
  <c r="J37" i="1"/>
  <c r="O37" i="1"/>
  <c r="G31" i="1"/>
  <c r="J31" i="1" s="1"/>
  <c r="O31" i="1"/>
  <c r="O25" i="1"/>
  <c r="G25" i="1"/>
  <c r="O29" i="1"/>
  <c r="Q29" i="1" s="1"/>
  <c r="T29" i="1" s="1"/>
  <c r="G23" i="1"/>
  <c r="I23" i="1" s="1"/>
  <c r="O23" i="1"/>
  <c r="Q23" i="1" s="1"/>
  <c r="T23" i="1" s="1"/>
  <c r="G34" i="1"/>
  <c r="J34" i="1" s="1"/>
  <c r="O34" i="1"/>
  <c r="Q34" i="1" s="1"/>
  <c r="T34" i="1" s="1"/>
  <c r="J25" i="1"/>
  <c r="Q25" i="1"/>
  <c r="T25" i="1" s="1"/>
  <c r="Q37" i="1"/>
  <c r="T37" i="1"/>
  <c r="O44" i="1" l="1"/>
  <c r="G44" i="1"/>
  <c r="J44" i="1" s="1"/>
  <c r="G43" i="1"/>
  <c r="J43" i="1" s="1"/>
  <c r="O43" i="1"/>
  <c r="Q43" i="1" s="1"/>
  <c r="T43" i="1" s="1"/>
  <c r="O40" i="1"/>
  <c r="G40" i="1"/>
  <c r="J40" i="1" s="1"/>
  <c r="O26" i="1"/>
  <c r="G26" i="1"/>
  <c r="O35" i="1"/>
  <c r="G35" i="1"/>
  <c r="J35" i="1" s="1"/>
  <c r="O30" i="1"/>
  <c r="G30" i="1"/>
  <c r="J30" i="1" s="1"/>
  <c r="Q38" i="1"/>
  <c r="T38" i="1" s="1"/>
  <c r="J38" i="1"/>
  <c r="G21" i="1"/>
  <c r="I21" i="1" s="1"/>
  <c r="D15" i="1"/>
  <c r="C19" i="1" s="1"/>
  <c r="O21" i="1"/>
  <c r="Q21" i="1" s="1"/>
  <c r="T21" i="1" s="1"/>
  <c r="D16" i="1"/>
  <c r="D19" i="1" s="1"/>
  <c r="O33" i="1"/>
  <c r="G33" i="1"/>
  <c r="I33" i="1" s="1"/>
  <c r="I28" i="1"/>
  <c r="Q28" i="1"/>
  <c r="T28" i="1" s="1"/>
  <c r="G24" i="1"/>
  <c r="I24" i="1" s="1"/>
  <c r="O24" i="1"/>
  <c r="O41" i="1"/>
  <c r="Q41" i="1" s="1"/>
  <c r="T41" i="1" s="1"/>
  <c r="G41" i="1"/>
  <c r="J41" i="1" s="1"/>
  <c r="G27" i="1"/>
  <c r="J27" i="1" s="1"/>
  <c r="O27" i="1"/>
  <c r="G42" i="1"/>
  <c r="J42" i="1" s="1"/>
  <c r="Q31" i="1"/>
  <c r="T31" i="1" s="1"/>
  <c r="O36" i="1"/>
  <c r="Q36" i="1" s="1"/>
  <c r="T36" i="1" s="1"/>
  <c r="C12" i="1"/>
  <c r="C11" i="1"/>
  <c r="N43" i="1" l="1"/>
  <c r="N44" i="1"/>
  <c r="Q44" i="1"/>
  <c r="T44" i="1" s="1"/>
  <c r="N23" i="1"/>
  <c r="N36" i="1"/>
  <c r="N28" i="1"/>
  <c r="N27" i="1"/>
  <c r="N35" i="1"/>
  <c r="N32" i="1"/>
  <c r="N33" i="1"/>
  <c r="N38" i="1"/>
  <c r="N31" i="1"/>
  <c r="N25" i="1"/>
  <c r="N21" i="1"/>
  <c r="N26" i="1"/>
  <c r="N42" i="1"/>
  <c r="N41" i="1"/>
  <c r="N39" i="1"/>
  <c r="N22" i="1"/>
  <c r="N30" i="1"/>
  <c r="N34" i="1"/>
  <c r="N37" i="1"/>
  <c r="N24" i="1"/>
  <c r="N29" i="1"/>
  <c r="N40" i="1"/>
  <c r="C15" i="1"/>
  <c r="C16" i="1"/>
  <c r="D18" i="1" s="1"/>
  <c r="Q33" i="1"/>
  <c r="T33" i="1" s="1"/>
  <c r="Q30" i="1"/>
  <c r="T30" i="1" s="1"/>
  <c r="Q24" i="1"/>
  <c r="T24" i="1" s="1"/>
  <c r="Q35" i="1"/>
  <c r="T35" i="1" s="1"/>
  <c r="J26" i="1"/>
  <c r="Q26" i="1"/>
  <c r="T26" i="1" s="1"/>
  <c r="E14" i="1" s="1"/>
  <c r="Q27" i="1"/>
  <c r="T27" i="1" s="1"/>
  <c r="Q42" i="1"/>
  <c r="T42" i="1" s="1"/>
  <c r="Q40" i="1"/>
  <c r="T40" i="1" s="1"/>
  <c r="C18" i="1" l="1"/>
  <c r="F18" i="1"/>
  <c r="F19" i="1" s="1"/>
</calcChain>
</file>

<file path=xl/sharedStrings.xml><?xml version="1.0" encoding="utf-8"?>
<sst xmlns="http://schemas.openxmlformats.org/spreadsheetml/2006/main" count="267" uniqueCount="133">
  <si>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</si>
  <si>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</si>
  <si>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</si>
  <si>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</si>
  <si>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</si>
  <si>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</si>
  <si>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</si>
  <si>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</si>
  <si>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</si>
  <si>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</si>
  <si>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</si>
  <si>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</si>
  <si>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</si>
  <si>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</si>
  <si>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</si>
  <si>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</si>
  <si>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</si>
  <si>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</si>
  <si>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</si>
  <si>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</si>
  <si>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</si>
  <si>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</si>
  <si>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</si>
  <si>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</si>
  <si>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</si>
  <si>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</si>
  <si>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IBVS 5714</t>
  </si>
  <si>
    <t>I</t>
  </si>
  <si>
    <t>II</t>
  </si>
  <si>
    <t>IBVS 5699</t>
  </si>
  <si>
    <t>not avail.</t>
  </si>
  <si>
    <t>V1898 Cyg / GSC 3588-4247</t>
  </si>
  <si>
    <t xml:space="preserve">EA/DM     </t>
  </si>
  <si>
    <t>Verified by ToMcat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</si>
  <si>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</si>
  <si>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</si>
  <si>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</si>
  <si>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</si>
  <si>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</si>
  <si>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</si>
  <si>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</si>
  <si>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OEJV 0094</t>
  </si>
  <si>
    <t>Halbedel 1985</t>
  </si>
  <si>
    <t>IBVS 2663</t>
  </si>
  <si>
    <t>Add cycle</t>
  </si>
  <si>
    <t>Old Cycle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</si>
  <si>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</si>
  <si>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</si>
  <si>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</si>
  <si>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</si>
  <si>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</si>
  <si>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</si>
  <si>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</si>
  <si>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</si>
  <si>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</si>
  <si>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</si>
  <si>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</si>
  <si>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</si>
  <si>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</si>
  <si>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</si>
  <si>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</si>
  <si>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</si>
  <si>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</si>
  <si>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2445960.6758 </t>
  </si>
  <si>
    <t> 17.09.1984 04:13 </t>
  </si>
  <si>
    <t> 0.0008 </t>
  </si>
  <si>
    <t>E </t>
  </si>
  <si>
    <t>?</t>
  </si>
  <si>
    <t> E.M.Halbedel </t>
  </si>
  <si>
    <t>IBVS 2663 </t>
  </si>
  <si>
    <t>2445963.6986 </t>
  </si>
  <si>
    <t> 20.09.1984 04:45 </t>
  </si>
  <si>
    <t> -0.0026 </t>
  </si>
  <si>
    <t>2446010.6101 </t>
  </si>
  <si>
    <t> 06.11.1984 02:38 </t>
  </si>
  <si>
    <t> 0.0020 </t>
  </si>
  <si>
    <t>2446013.6351 </t>
  </si>
  <si>
    <t> 09.11.1984 03:14 </t>
  </si>
  <si>
    <t>2450690.6948 </t>
  </si>
  <si>
    <t> 30.08.1997 04:40 </t>
  </si>
  <si>
    <t> -0.0049 </t>
  </si>
  <si>
    <t>C </t>
  </si>
  <si>
    <t> Caton &amp; Smith </t>
  </si>
  <si>
    <t>IBVS 5699 </t>
  </si>
  <si>
    <t>2452169.7772 </t>
  </si>
  <si>
    <t> 17.09.2001 06:39 </t>
  </si>
  <si>
    <t> -0.0009 </t>
  </si>
  <si>
    <t>2452185.6636 </t>
  </si>
  <si>
    <t> 03.10.2001 03:55 </t>
  </si>
  <si>
    <t> -0.0023 </t>
  </si>
  <si>
    <t>m</t>
  </si>
  <si>
    <t>2452895.3220 </t>
  </si>
  <si>
    <t> 12.09.2003 19:43 </t>
  </si>
  <si>
    <t> 0.0011 </t>
  </si>
  <si>
    <t> Dallaporta &amp; Munari </t>
  </si>
  <si>
    <t>IBVS 5714 </t>
  </si>
  <si>
    <t>2452901.3740 </t>
  </si>
  <si>
    <t> 18.09.2003 20:58 </t>
  </si>
  <si>
    <t> 0.0006 </t>
  </si>
  <si>
    <t>2452928.6107 </t>
  </si>
  <si>
    <t> 16.10.2003 02:39 </t>
  </si>
  <si>
    <t>2453207.7802 </t>
  </si>
  <si>
    <t> 21.07.2004 06:43 </t>
  </si>
  <si>
    <t> -0.0007 </t>
  </si>
  <si>
    <t>2453226.6966 </t>
  </si>
  <si>
    <t> 09.08.2004 04:43 </t>
  </si>
  <si>
    <t> 0.0016 </t>
  </si>
  <si>
    <t>2453246.3663 </t>
  </si>
  <si>
    <t> 28.08.2004 20:47 </t>
  </si>
  <si>
    <t> 0.0007 </t>
  </si>
  <si>
    <t>B</t>
  </si>
  <si>
    <t>2453270.5757 </t>
  </si>
  <si>
    <t> 22.09.2004 01:49 </t>
  </si>
  <si>
    <t> 0.0001 </t>
  </si>
  <si>
    <t>2454443.2558 </t>
  </si>
  <si>
    <t> 08.12.2007 18:08 </t>
  </si>
  <si>
    <t> 0.0094 </t>
  </si>
  <si>
    <t>R</t>
  </si>
  <si>
    <t> L.Šmelcer </t>
  </si>
  <si>
    <t>OEJV 0094 </t>
  </si>
  <si>
    <t>2454443.2564 </t>
  </si>
  <si>
    <t> 08.12.2007 18:09 </t>
  </si>
  <si>
    <t> 0.0100 </t>
  </si>
  <si>
    <t>2454691.4070 </t>
  </si>
  <si>
    <t> 12.08.2008 21:46 </t>
  </si>
  <si>
    <t> 0.0083 </t>
  </si>
  <si>
    <t>2454691.4089 </t>
  </si>
  <si>
    <t> 12.08.2008 21:48 </t>
  </si>
  <si>
    <t> 0.0102 </t>
  </si>
  <si>
    <t>2454691.4097 </t>
  </si>
  <si>
    <t> 12.08.2008 21:49 </t>
  </si>
  <si>
    <t> 0.0110 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</si>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</sst>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1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5" xfId="0" applyFont="1" applyBorder="1">
      <alignment vertical="top"/>
    </xf>
    <xf numFmtId="0" fontId="9" fillId="0" borderId="0" xfId="0" applyFont="1" applyAlignment="1"/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14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6" xfId="0" applyBorder="1" applyAlignment="1"/>
    <xf numFmtId="0" fontId="0" fillId="0" borderId="7" xfId="0" applyBorder="1" applyAlignment="1"/>
    <xf numFmtId="11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2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4" fillId="0" borderId="0" xfId="0" applyFont="1" applyAlignment="1"/>
    <xf numFmtId="14" fontId="18" fillId="0" borderId="0" xfId="0" applyNumberFormat="1" applyFont="1" applyAlignment="1"/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" fillId="0" borderId="3" xfId="0" applyFont="1" applyBorder="1">
      <alignment vertical="top"/>
    </xf>
    <xf numFmtId="0" fontId="6" fillId="0" borderId="4" xfId="0" applyFont="1" applyBorder="1">
      <alignment vertical="top"/>
    </xf>
    <xf numFmtId="0" fontId="22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3" fillId="0" borderId="0" xfId="7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" borderId="17" xfId="0" applyFont="1" applyFill="1" applyBorder="1" applyAlignment="1">
      <alignment horizontal="left" vertical="top" wrapText="1" indent="1"/>
    </xf>
    <xf numFmtId="0" fontId="5" fillId="2" borderId="17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right" vertical="top" wrapText="1"/>
    </xf>
    <xf numFmtId="0" fontId="23" fillId="2" borderId="17" xfId="7" applyFill="1" applyBorder="1" applyAlignment="1" applyProtection="1">
      <alignment horizontal="right" vertical="top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76" fontId="25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V1898 Cyg - O-C Diagr.</a:t>
            </a:r>
          </a:p>
        </c:rich>
      </c:tx>
      <c:layout>
        <c:manualLayout>
          <c:xMode val="edge"/>
          <c:yMode val="edge"/>
          <c:x val="0.34168194986360156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57975019893767"/>
          <c:y val="0.14545497589659059"/>
          <c:w val="0.78175381344495387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-3126</c:v>
                </c:pt>
                <c:pt idx="1">
                  <c:v>-3124</c:v>
                </c:pt>
                <c:pt idx="2">
                  <c:v>-3093</c:v>
                </c:pt>
                <c:pt idx="3">
                  <c:v>-3091</c:v>
                </c:pt>
                <c:pt idx="4">
                  <c:v>0</c:v>
                </c:pt>
                <c:pt idx="5">
                  <c:v>977.5</c:v>
                </c:pt>
                <c:pt idx="6">
                  <c:v>988</c:v>
                </c:pt>
                <c:pt idx="7">
                  <c:v>1457</c:v>
                </c:pt>
                <c:pt idx="8">
                  <c:v>1461</c:v>
                </c:pt>
                <c:pt idx="9">
                  <c:v>1479</c:v>
                </c:pt>
                <c:pt idx="10">
                  <c:v>1663.5</c:v>
                </c:pt>
                <c:pt idx="11">
                  <c:v>1676</c:v>
                </c:pt>
                <c:pt idx="12">
                  <c:v>1689</c:v>
                </c:pt>
                <c:pt idx="13">
                  <c:v>1705</c:v>
                </c:pt>
                <c:pt idx="14">
                  <c:v>2480</c:v>
                </c:pt>
                <c:pt idx="15">
                  <c:v>2480</c:v>
                </c:pt>
                <c:pt idx="16">
                  <c:v>2644</c:v>
                </c:pt>
                <c:pt idx="17">
                  <c:v>2644</c:v>
                </c:pt>
                <c:pt idx="18">
                  <c:v>2644</c:v>
                </c:pt>
                <c:pt idx="19">
                  <c:v>3903</c:v>
                </c:pt>
                <c:pt idx="20">
                  <c:v>3903</c:v>
                </c:pt>
                <c:pt idx="21">
                  <c:v>3903</c:v>
                </c:pt>
                <c:pt idx="22">
                  <c:v>5573</c:v>
                </c:pt>
                <c:pt idx="23">
                  <c:v>5608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D4-4D84-BA76-509447E5620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1.4E-3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1E-3</c:v>
                  </c:pt>
                  <c:pt idx="22">
                    <c:v>8.0000000000000002E-3</c:v>
                  </c:pt>
                  <c:pt idx="23">
                    <c:v>0.01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1.4E-3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1E-3</c:v>
                  </c:pt>
                  <c:pt idx="22">
                    <c:v>8.0000000000000002E-3</c:v>
                  </c:pt>
                  <c:pt idx="2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-3126</c:v>
                </c:pt>
                <c:pt idx="1">
                  <c:v>-3124</c:v>
                </c:pt>
                <c:pt idx="2">
                  <c:v>-3093</c:v>
                </c:pt>
                <c:pt idx="3">
                  <c:v>-3091</c:v>
                </c:pt>
                <c:pt idx="4">
                  <c:v>0</c:v>
                </c:pt>
                <c:pt idx="5">
                  <c:v>977.5</c:v>
                </c:pt>
                <c:pt idx="6">
                  <c:v>988</c:v>
                </c:pt>
                <c:pt idx="7">
                  <c:v>1457</c:v>
                </c:pt>
                <c:pt idx="8">
                  <c:v>1461</c:v>
                </c:pt>
                <c:pt idx="9">
                  <c:v>1479</c:v>
                </c:pt>
                <c:pt idx="10">
                  <c:v>1663.5</c:v>
                </c:pt>
                <c:pt idx="11">
                  <c:v>1676</c:v>
                </c:pt>
                <c:pt idx="12">
                  <c:v>1689</c:v>
                </c:pt>
                <c:pt idx="13">
                  <c:v>1705</c:v>
                </c:pt>
                <c:pt idx="14">
                  <c:v>2480</c:v>
                </c:pt>
                <c:pt idx="15">
                  <c:v>2480</c:v>
                </c:pt>
                <c:pt idx="16">
                  <c:v>2644</c:v>
                </c:pt>
                <c:pt idx="17">
                  <c:v>2644</c:v>
                </c:pt>
                <c:pt idx="18">
                  <c:v>2644</c:v>
                </c:pt>
                <c:pt idx="19">
                  <c:v>3903</c:v>
                </c:pt>
                <c:pt idx="20">
                  <c:v>3903</c:v>
                </c:pt>
                <c:pt idx="21">
                  <c:v>3903</c:v>
                </c:pt>
                <c:pt idx="22">
                  <c:v>5573</c:v>
                </c:pt>
                <c:pt idx="23">
                  <c:v>5608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1.6939799999818206E-2</c:v>
                </c:pt>
                <c:pt idx="1">
                  <c:v>1.3485200004652143E-2</c:v>
                </c:pt>
                <c:pt idx="2">
                  <c:v>1.8038900001556613E-2</c:v>
                </c:pt>
                <c:pt idx="3">
                  <c:v>1.6784300001745578E-2</c:v>
                </c:pt>
                <c:pt idx="7">
                  <c:v>7.2390000423183665E-4</c:v>
                </c:pt>
                <c:pt idx="8">
                  <c:v>2.1470000501722097E-4</c:v>
                </c:pt>
                <c:pt idx="12">
                  <c:v>-5.0969999574590474E-4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D4-4D84-BA76-509447E5620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1.4E-3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1E-3</c:v>
                  </c:pt>
                  <c:pt idx="22">
                    <c:v>8.0000000000000002E-3</c:v>
                  </c:pt>
                  <c:pt idx="23">
                    <c:v>0.01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1.4E-3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1E-3</c:v>
                  </c:pt>
                  <c:pt idx="22">
                    <c:v>8.0000000000000002E-3</c:v>
                  </c:pt>
                  <c:pt idx="2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-3126</c:v>
                </c:pt>
                <c:pt idx="1">
                  <c:v>-3124</c:v>
                </c:pt>
                <c:pt idx="2">
                  <c:v>-3093</c:v>
                </c:pt>
                <c:pt idx="3">
                  <c:v>-3091</c:v>
                </c:pt>
                <c:pt idx="4">
                  <c:v>0</c:v>
                </c:pt>
                <c:pt idx="5">
                  <c:v>977.5</c:v>
                </c:pt>
                <c:pt idx="6">
                  <c:v>988</c:v>
                </c:pt>
                <c:pt idx="7">
                  <c:v>1457</c:v>
                </c:pt>
                <c:pt idx="8">
                  <c:v>1461</c:v>
                </c:pt>
                <c:pt idx="9">
                  <c:v>1479</c:v>
                </c:pt>
                <c:pt idx="10">
                  <c:v>1663.5</c:v>
                </c:pt>
                <c:pt idx="11">
                  <c:v>1676</c:v>
                </c:pt>
                <c:pt idx="12">
                  <c:v>1689</c:v>
                </c:pt>
                <c:pt idx="13">
                  <c:v>1705</c:v>
                </c:pt>
                <c:pt idx="14">
                  <c:v>2480</c:v>
                </c:pt>
                <c:pt idx="15">
                  <c:v>2480</c:v>
                </c:pt>
                <c:pt idx="16">
                  <c:v>2644</c:v>
                </c:pt>
                <c:pt idx="17">
                  <c:v>2644</c:v>
                </c:pt>
                <c:pt idx="18">
                  <c:v>2644</c:v>
                </c:pt>
                <c:pt idx="19">
                  <c:v>3903</c:v>
                </c:pt>
                <c:pt idx="20">
                  <c:v>3903</c:v>
                </c:pt>
                <c:pt idx="21">
                  <c:v>3903</c:v>
                </c:pt>
                <c:pt idx="22">
                  <c:v>5573</c:v>
                </c:pt>
                <c:pt idx="23">
                  <c:v>5608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4">
                  <c:v>0</c:v>
                </c:pt>
                <c:pt idx="5">
                  <c:v>4.6424999891314656E-4</c:v>
                </c:pt>
                <c:pt idx="6">
                  <c:v>-9.723999974085018E-4</c:v>
                </c:pt>
                <c:pt idx="9">
                  <c:v>6.2330000218935311E-4</c:v>
                </c:pt>
                <c:pt idx="10">
                  <c:v>-1.8635499945958145E-3</c:v>
                </c:pt>
                <c:pt idx="11">
                  <c:v>4.4520000665215775E-4</c:v>
                </c:pt>
                <c:pt idx="13">
                  <c:v>-1.1464999988675117E-3</c:v>
                </c:pt>
                <c:pt idx="14">
                  <c:v>5.37600000097882E-3</c:v>
                </c:pt>
                <c:pt idx="15">
                  <c:v>5.9760000003734604E-3</c:v>
                </c:pt>
                <c:pt idx="16">
                  <c:v>3.6588000002666377E-3</c:v>
                </c:pt>
                <c:pt idx="17">
                  <c:v>5.5588000032003038E-3</c:v>
                </c:pt>
                <c:pt idx="18">
                  <c:v>6.3588000048184767E-3</c:v>
                </c:pt>
                <c:pt idx="19">
                  <c:v>4.8581000082776882E-3</c:v>
                </c:pt>
                <c:pt idx="20">
                  <c:v>6.7981000029249117E-3</c:v>
                </c:pt>
                <c:pt idx="21">
                  <c:v>9.998100002121646E-3</c:v>
                </c:pt>
                <c:pt idx="22">
                  <c:v>-2.2429002056014724E-3</c:v>
                </c:pt>
                <c:pt idx="23">
                  <c:v>1.3015997828915715E-3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D4-4D84-BA76-509447E5620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1.4E-3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1E-3</c:v>
                  </c:pt>
                  <c:pt idx="22">
                    <c:v>8.0000000000000002E-3</c:v>
                  </c:pt>
                  <c:pt idx="23">
                    <c:v>0.01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1.4E-3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1E-3</c:v>
                  </c:pt>
                  <c:pt idx="22">
                    <c:v>8.0000000000000002E-3</c:v>
                  </c:pt>
                  <c:pt idx="2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-3126</c:v>
                </c:pt>
                <c:pt idx="1">
                  <c:v>-3124</c:v>
                </c:pt>
                <c:pt idx="2">
                  <c:v>-3093</c:v>
                </c:pt>
                <c:pt idx="3">
                  <c:v>-3091</c:v>
                </c:pt>
                <c:pt idx="4">
                  <c:v>0</c:v>
                </c:pt>
                <c:pt idx="5">
                  <c:v>977.5</c:v>
                </c:pt>
                <c:pt idx="6">
                  <c:v>988</c:v>
                </c:pt>
                <c:pt idx="7">
                  <c:v>1457</c:v>
                </c:pt>
                <c:pt idx="8">
                  <c:v>1461</c:v>
                </c:pt>
                <c:pt idx="9">
                  <c:v>1479</c:v>
                </c:pt>
                <c:pt idx="10">
                  <c:v>1663.5</c:v>
                </c:pt>
                <c:pt idx="11">
                  <c:v>1676</c:v>
                </c:pt>
                <c:pt idx="12">
                  <c:v>1689</c:v>
                </c:pt>
                <c:pt idx="13">
                  <c:v>1705</c:v>
                </c:pt>
                <c:pt idx="14">
                  <c:v>2480</c:v>
                </c:pt>
                <c:pt idx="15">
                  <c:v>2480</c:v>
                </c:pt>
                <c:pt idx="16">
                  <c:v>2644</c:v>
                </c:pt>
                <c:pt idx="17">
                  <c:v>2644</c:v>
                </c:pt>
                <c:pt idx="18">
                  <c:v>2644</c:v>
                </c:pt>
                <c:pt idx="19">
                  <c:v>3903</c:v>
                </c:pt>
                <c:pt idx="20">
                  <c:v>3903</c:v>
                </c:pt>
                <c:pt idx="21">
                  <c:v>3903</c:v>
                </c:pt>
                <c:pt idx="22">
                  <c:v>5573</c:v>
                </c:pt>
                <c:pt idx="23">
                  <c:v>5608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D4-4D84-BA76-509447E5620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1.4E-3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1E-3</c:v>
                  </c:pt>
                  <c:pt idx="22">
                    <c:v>8.0000000000000002E-3</c:v>
                  </c:pt>
                  <c:pt idx="23">
                    <c:v>0.01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1.4E-3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1E-3</c:v>
                  </c:pt>
                  <c:pt idx="22">
                    <c:v>8.0000000000000002E-3</c:v>
                  </c:pt>
                  <c:pt idx="2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-3126</c:v>
                </c:pt>
                <c:pt idx="1">
                  <c:v>-3124</c:v>
                </c:pt>
                <c:pt idx="2">
                  <c:v>-3093</c:v>
                </c:pt>
                <c:pt idx="3">
                  <c:v>-3091</c:v>
                </c:pt>
                <c:pt idx="4">
                  <c:v>0</c:v>
                </c:pt>
                <c:pt idx="5">
                  <c:v>977.5</c:v>
                </c:pt>
                <c:pt idx="6">
                  <c:v>988</c:v>
                </c:pt>
                <c:pt idx="7">
                  <c:v>1457</c:v>
                </c:pt>
                <c:pt idx="8">
                  <c:v>1461</c:v>
                </c:pt>
                <c:pt idx="9">
                  <c:v>1479</c:v>
                </c:pt>
                <c:pt idx="10">
                  <c:v>1663.5</c:v>
                </c:pt>
                <c:pt idx="11">
                  <c:v>1676</c:v>
                </c:pt>
                <c:pt idx="12">
                  <c:v>1689</c:v>
                </c:pt>
                <c:pt idx="13">
                  <c:v>1705</c:v>
                </c:pt>
                <c:pt idx="14">
                  <c:v>2480</c:v>
                </c:pt>
                <c:pt idx="15">
                  <c:v>2480</c:v>
                </c:pt>
                <c:pt idx="16">
                  <c:v>2644</c:v>
                </c:pt>
                <c:pt idx="17">
                  <c:v>2644</c:v>
                </c:pt>
                <c:pt idx="18">
                  <c:v>2644</c:v>
                </c:pt>
                <c:pt idx="19">
                  <c:v>3903</c:v>
                </c:pt>
                <c:pt idx="20">
                  <c:v>3903</c:v>
                </c:pt>
                <c:pt idx="21">
                  <c:v>3903</c:v>
                </c:pt>
                <c:pt idx="22">
                  <c:v>5573</c:v>
                </c:pt>
                <c:pt idx="23">
                  <c:v>5608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D4-4D84-BA76-509447E5620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1.4E-3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1E-3</c:v>
                  </c:pt>
                  <c:pt idx="22">
                    <c:v>8.0000000000000002E-3</c:v>
                  </c:pt>
                  <c:pt idx="23">
                    <c:v>0.01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1.4E-3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1E-3</c:v>
                  </c:pt>
                  <c:pt idx="22">
                    <c:v>8.0000000000000002E-3</c:v>
                  </c:pt>
                  <c:pt idx="2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-3126</c:v>
                </c:pt>
                <c:pt idx="1">
                  <c:v>-3124</c:v>
                </c:pt>
                <c:pt idx="2">
                  <c:v>-3093</c:v>
                </c:pt>
                <c:pt idx="3">
                  <c:v>-3091</c:v>
                </c:pt>
                <c:pt idx="4">
                  <c:v>0</c:v>
                </c:pt>
                <c:pt idx="5">
                  <c:v>977.5</c:v>
                </c:pt>
                <c:pt idx="6">
                  <c:v>988</c:v>
                </c:pt>
                <c:pt idx="7">
                  <c:v>1457</c:v>
                </c:pt>
                <c:pt idx="8">
                  <c:v>1461</c:v>
                </c:pt>
                <c:pt idx="9">
                  <c:v>1479</c:v>
                </c:pt>
                <c:pt idx="10">
                  <c:v>1663.5</c:v>
                </c:pt>
                <c:pt idx="11">
                  <c:v>1676</c:v>
                </c:pt>
                <c:pt idx="12">
                  <c:v>1689</c:v>
                </c:pt>
                <c:pt idx="13">
                  <c:v>1705</c:v>
                </c:pt>
                <c:pt idx="14">
                  <c:v>2480</c:v>
                </c:pt>
                <c:pt idx="15">
                  <c:v>2480</c:v>
                </c:pt>
                <c:pt idx="16">
                  <c:v>2644</c:v>
                </c:pt>
                <c:pt idx="17">
                  <c:v>2644</c:v>
                </c:pt>
                <c:pt idx="18">
                  <c:v>2644</c:v>
                </c:pt>
                <c:pt idx="19">
                  <c:v>3903</c:v>
                </c:pt>
                <c:pt idx="20">
                  <c:v>3903</c:v>
                </c:pt>
                <c:pt idx="21">
                  <c:v>3903</c:v>
                </c:pt>
                <c:pt idx="22">
                  <c:v>5573</c:v>
                </c:pt>
                <c:pt idx="23">
                  <c:v>5608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D4-4D84-BA76-509447E56204}"/>
            </c:ext>
          </c:extLst>
        </c:ser>
        <c:ser>
          <c:idx val="7"/>
          <c:order val="6"/>
          <c:tx>
            <c:strRef>
              <c:f>Active!$N$20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-3126</c:v>
                </c:pt>
                <c:pt idx="1">
                  <c:v>-3124</c:v>
                </c:pt>
                <c:pt idx="2">
                  <c:v>-3093</c:v>
                </c:pt>
                <c:pt idx="3">
                  <c:v>-3091</c:v>
                </c:pt>
                <c:pt idx="4">
                  <c:v>0</c:v>
                </c:pt>
                <c:pt idx="5">
                  <c:v>977.5</c:v>
                </c:pt>
                <c:pt idx="6">
                  <c:v>988</c:v>
                </c:pt>
                <c:pt idx="7">
                  <c:v>1457</c:v>
                </c:pt>
                <c:pt idx="8">
                  <c:v>1461</c:v>
                </c:pt>
                <c:pt idx="9">
                  <c:v>1479</c:v>
                </c:pt>
                <c:pt idx="10">
                  <c:v>1663.5</c:v>
                </c:pt>
                <c:pt idx="11">
                  <c:v>1676</c:v>
                </c:pt>
                <c:pt idx="12">
                  <c:v>1689</c:v>
                </c:pt>
                <c:pt idx="13">
                  <c:v>1705</c:v>
                </c:pt>
                <c:pt idx="14">
                  <c:v>2480</c:v>
                </c:pt>
                <c:pt idx="15">
                  <c:v>2480</c:v>
                </c:pt>
                <c:pt idx="16">
                  <c:v>2644</c:v>
                </c:pt>
                <c:pt idx="17">
                  <c:v>2644</c:v>
                </c:pt>
                <c:pt idx="18">
                  <c:v>2644</c:v>
                </c:pt>
                <c:pt idx="19">
                  <c:v>3903</c:v>
                </c:pt>
                <c:pt idx="20">
                  <c:v>3903</c:v>
                </c:pt>
                <c:pt idx="21">
                  <c:v>3903</c:v>
                </c:pt>
                <c:pt idx="22">
                  <c:v>5573</c:v>
                </c:pt>
                <c:pt idx="23">
                  <c:v>5608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0">
                  <c:v>-2.225923983921122E-3</c:v>
                </c:pt>
                <c:pt idx="1">
                  <c:v>-2.224305659008483E-3</c:v>
                </c:pt>
                <c:pt idx="2">
                  <c:v>-2.1992216228625839E-3</c:v>
                </c:pt>
                <c:pt idx="3">
                  <c:v>-2.1976032979499453E-3</c:v>
                </c:pt>
                <c:pt idx="4">
                  <c:v>3.035178545330963E-4</c:v>
                </c:pt>
                <c:pt idx="5">
                  <c:v>1.0944741555852389E-3</c:v>
                </c:pt>
                <c:pt idx="6">
                  <c:v>1.1029703613765918E-3</c:v>
                </c:pt>
                <c:pt idx="7">
                  <c:v>1.4824675533903567E-3</c:v>
                </c:pt>
                <c:pt idx="8">
                  <c:v>1.485704203215634E-3</c:v>
                </c:pt>
                <c:pt idx="9">
                  <c:v>1.5002691274293818E-3</c:v>
                </c:pt>
                <c:pt idx="10">
                  <c:v>1.6495596006202977E-3</c:v>
                </c:pt>
                <c:pt idx="11">
                  <c:v>1.6596741313242894E-3</c:v>
                </c:pt>
                <c:pt idx="12">
                  <c:v>1.6701932432564405E-3</c:v>
                </c:pt>
                <c:pt idx="13">
                  <c:v>1.6831398425575499E-3</c:v>
                </c:pt>
                <c:pt idx="14">
                  <c:v>2.3102407462050286E-3</c:v>
                </c:pt>
                <c:pt idx="15">
                  <c:v>2.3102407462050286E-3</c:v>
                </c:pt>
                <c:pt idx="16">
                  <c:v>2.4429433890413984E-3</c:v>
                </c:pt>
                <c:pt idx="17">
                  <c:v>2.4429433890413984E-3</c:v>
                </c:pt>
                <c:pt idx="18">
                  <c:v>2.4429433890413984E-3</c:v>
                </c:pt>
                <c:pt idx="19">
                  <c:v>3.4616789215474318E-3</c:v>
                </c:pt>
                <c:pt idx="20">
                  <c:v>3.4616789215474318E-3</c:v>
                </c:pt>
                <c:pt idx="21">
                  <c:v>3.4616789215474318E-3</c:v>
                </c:pt>
                <c:pt idx="22">
                  <c:v>4.8129802236007088E-3</c:v>
                </c:pt>
                <c:pt idx="23">
                  <c:v>4.8413009095718863E-3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D4-4D84-BA76-509447E56204}"/>
            </c:ext>
          </c:extLst>
        </c:ser>
        <c:ser>
          <c:idx val="8"/>
          <c:order val="7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-3500</c:v>
                </c:pt>
                <c:pt idx="1">
                  <c:v>-3000</c:v>
                </c:pt>
                <c:pt idx="2">
                  <c:v>-2500</c:v>
                </c:pt>
                <c:pt idx="3">
                  <c:v>-2000</c:v>
                </c:pt>
                <c:pt idx="4">
                  <c:v>-1500</c:v>
                </c:pt>
                <c:pt idx="5">
                  <c:v>-1000</c:v>
                </c:pt>
                <c:pt idx="6">
                  <c:v>-500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2000</c:v>
                </c:pt>
                <c:pt idx="12">
                  <c:v>2500</c:v>
                </c:pt>
                <c:pt idx="13">
                  <c:v>3000</c:v>
                </c:pt>
                <c:pt idx="14">
                  <c:v>3500</c:v>
                </c:pt>
                <c:pt idx="15">
                  <c:v>4000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1.9129256774006419E-2</c:v>
                </c:pt>
                <c:pt idx="1">
                  <c:v>1.5283006516972007E-2</c:v>
                </c:pt>
                <c:pt idx="2">
                  <c:v>1.1881187746617177E-2</c:v>
                </c:pt>
                <c:pt idx="3">
                  <c:v>8.9238004629419374E-3</c:v>
                </c:pt>
                <c:pt idx="4">
                  <c:v>6.4108446659462814E-3</c:v>
                </c:pt>
                <c:pt idx="5">
                  <c:v>4.342320355630213E-3</c:v>
                </c:pt>
                <c:pt idx="6">
                  <c:v>2.71822753199373E-3</c:v>
                </c:pt>
                <c:pt idx="7">
                  <c:v>1.5385661950368342E-3</c:v>
                </c:pt>
                <c:pt idx="8">
                  <c:v>8.0333634475952495E-4</c:v>
                </c:pt>
                <c:pt idx="9">
                  <c:v>5.1253798116180217E-4</c:v>
                </c:pt>
                <c:pt idx="10">
                  <c:v>6.6617110424366591E-4</c:v>
                </c:pt>
                <c:pt idx="11">
                  <c:v>1.2642357140051162E-3</c:v>
                </c:pt>
                <c:pt idx="12">
                  <c:v>2.3067318104461527E-3</c:v>
                </c:pt>
                <c:pt idx="13">
                  <c:v>3.793659393566776E-3</c:v>
                </c:pt>
                <c:pt idx="14">
                  <c:v>5.7250184633669855E-3</c:v>
                </c:pt>
                <c:pt idx="15">
                  <c:v>8.1008090198467827E-3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D4-4D84-BA76-509447E56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50112"/>
        <c:axId val="1"/>
      </c:scatterChart>
      <c:valAx>
        <c:axId val="79425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5173702571615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67262969588549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50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04669943985086"/>
          <c:y val="0.92121498449057504"/>
          <c:w val="0.7531313415876682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15</xdr:col>
      <xdr:colOff>361950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46E01E9-2EDF-E68E-C4CD-624693752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14" TargetMode="External"/><Relationship Id="rId13" Type="http://schemas.openxmlformats.org/officeDocument/2006/relationships/hyperlink" Target="http://www.konkoly.hu/cgi-bin/IBVS?5714" TargetMode="External"/><Relationship Id="rId18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konkoly.hu/cgi-bin/IBVS?2663" TargetMode="External"/><Relationship Id="rId7" Type="http://schemas.openxmlformats.org/officeDocument/2006/relationships/hyperlink" Target="http://www.konkoly.hu/cgi-bin/IBVS?5699" TargetMode="External"/><Relationship Id="rId12" Type="http://schemas.openxmlformats.org/officeDocument/2006/relationships/hyperlink" Target="http://www.konkoly.hu/cgi-bin/IBVS?5699" TargetMode="External"/><Relationship Id="rId17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www.konkoly.hu/cgi-bin/IBVS?2663" TargetMode="External"/><Relationship Id="rId16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konkoly.hu/cgi-bin/IBVS?2663" TargetMode="External"/><Relationship Id="rId6" Type="http://schemas.openxmlformats.org/officeDocument/2006/relationships/hyperlink" Target="http://www.konkoly.hu/cgi-bin/IBVS?5699" TargetMode="External"/><Relationship Id="rId11" Type="http://schemas.openxmlformats.org/officeDocument/2006/relationships/hyperlink" Target="http://www.konkoly.hu/cgi-bin/IBVS?5699" TargetMode="External"/><Relationship Id="rId5" Type="http://schemas.openxmlformats.org/officeDocument/2006/relationships/hyperlink" Target="http://www.konkoly.hu/cgi-bin/IBVS?5699" TargetMode="External"/><Relationship Id="rId15" Type="http://schemas.openxmlformats.org/officeDocument/2006/relationships/hyperlink" Target="http://var.astro.cz/oejv/issues/oejv0094.pdf" TargetMode="External"/><Relationship Id="rId10" Type="http://schemas.openxmlformats.org/officeDocument/2006/relationships/hyperlink" Target="http://www.konkoly.hu/cgi-bin/IBVS?5699" TargetMode="External"/><Relationship Id="rId19" Type="http://schemas.openxmlformats.org/officeDocument/2006/relationships/hyperlink" Target="http://var.astro.cz/oejv/issues/oejv0094.pdf" TargetMode="External"/><Relationship Id="rId4" Type="http://schemas.openxmlformats.org/officeDocument/2006/relationships/hyperlink" Target="http://www.konkoly.hu/cgi-bin/IBVS?2663" TargetMode="External"/><Relationship Id="rId9" Type="http://schemas.openxmlformats.org/officeDocument/2006/relationships/hyperlink" Target="http://www.konkoly.hu/cgi-bin/IBVS?5714" TargetMode="External"/><Relationship Id="rId14" Type="http://schemas.openxmlformats.org/officeDocument/2006/relationships/hyperlink" Target="http://www.konkoly.hu/cgi-bin/IBVS?56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140625" customWidth="1"/>
    <col min="6" max="6" width="16.140625" customWidth="1"/>
    <col min="7" max="7" width="8.140625" customWidth="1"/>
    <col min="8" max="13" width="8.5703125" customWidth="1"/>
    <col min="14" max="14" width="8" customWidth="1"/>
    <col min="15" max="15" width="7.7109375" customWidth="1"/>
    <col min="16" max="16" width="9.85546875" customWidth="1"/>
    <col min="17" max="17" width="10.28515625" customWidth="1"/>
    <col min="18" max="18" width="9.140625" customWidth="1"/>
  </cols>
  <sheetData>
    <row r="1" spans="1:23" ht="21" thickBot="1">
      <c r="A1" s="1" t="s">
        <v>31</v>
      </c>
      <c r="V1" s="4" t="s">
        <v>10</v>
      </c>
      <c r="W1" s="6" t="s">
        <v>21</v>
      </c>
    </row>
    <row r="2" spans="1:23">
      <c r="A2" t="s">
        <v>23</v>
      </c>
      <c r="B2" s="13" t="s">
        <v>32</v>
      </c>
      <c r="V2" s="43">
        <v>-3500</v>
      </c>
      <c r="W2" s="43">
        <f t="shared" ref="W2:W17" si="0">+D$11+D$12*V2+D$13*V2^2</f>
        <v>1.9129256774006419E-2</v>
      </c>
    </row>
    <row r="3" spans="1:23" ht="13.5" thickBot="1">
      <c r="V3" s="43">
        <v>-3000</v>
      </c>
      <c r="W3" s="43">
        <f t="shared" si="0"/>
        <v>1.5283006516972007E-2</v>
      </c>
    </row>
    <row r="4" spans="1:23" ht="14.25" thickTop="1" thickBot="1">
      <c r="A4" s="5" t="s">
        <v>0</v>
      </c>
      <c r="C4" s="11" t="s">
        <v>30</v>
      </c>
      <c r="D4" s="12" t="s">
        <v>30</v>
      </c>
      <c r="V4" s="43">
        <v>-2500</v>
      </c>
      <c r="W4" s="43">
        <f t="shared" si="0"/>
        <v>1.1881187746617177E-2</v>
      </c>
    </row>
    <row r="5" spans="1:23" ht="13.5" thickTop="1">
      <c r="A5" s="15" t="s">
        <v>34</v>
      </c>
      <c r="B5" s="9"/>
      <c r="C5" s="16">
        <v>-9.5</v>
      </c>
      <c r="D5" s="9" t="s">
        <v>35</v>
      </c>
      <c r="V5" s="43">
        <v>-2000</v>
      </c>
      <c r="W5" s="43">
        <f t="shared" si="0"/>
        <v>8.9238004629419374E-3</v>
      </c>
    </row>
    <row r="6" spans="1:23">
      <c r="A6" s="5" t="s">
        <v>1</v>
      </c>
      <c r="V6" s="43">
        <v>-1500</v>
      </c>
      <c r="W6" s="43">
        <f t="shared" si="0"/>
        <v>6.4108446659462814E-3</v>
      </c>
    </row>
    <row r="7" spans="1:23">
      <c r="A7" t="s">
        <v>2</v>
      </c>
      <c r="C7" s="3">
        <v>50690.694799999997</v>
      </c>
      <c r="V7" s="43">
        <v>-1000</v>
      </c>
      <c r="W7" s="43">
        <f t="shared" si="0"/>
        <v>4.342320355630213E-3</v>
      </c>
    </row>
    <row r="8" spans="1:23">
      <c r="A8" t="s">
        <v>3</v>
      </c>
      <c r="C8">
        <v>1.5131273000000001</v>
      </c>
      <c r="D8" s="14" t="s">
        <v>33</v>
      </c>
      <c r="V8" s="43">
        <v>-500</v>
      </c>
      <c r="W8" s="43">
        <f t="shared" si="0"/>
        <v>2.71822753199373E-3</v>
      </c>
    </row>
    <row r="9" spans="1:23">
      <c r="A9" s="27" t="s">
        <v>40</v>
      </c>
      <c r="C9" s="28">
        <v>25</v>
      </c>
      <c r="D9" s="18" t="str">
        <f>"F"&amp;C9</f>
        <v>F25</v>
      </c>
      <c r="E9" s="19" t="str">
        <f>"G"&amp;C9</f>
        <v>G25</v>
      </c>
      <c r="V9" s="43">
        <v>0</v>
      </c>
      <c r="W9" s="43">
        <f t="shared" si="0"/>
        <v>1.5385661950368342E-3</v>
      </c>
    </row>
    <row r="10" spans="1:23" ht="13.5" thickBot="1">
      <c r="A10" s="9"/>
      <c r="B10" s="9"/>
      <c r="C10" s="4" t="s">
        <v>19</v>
      </c>
      <c r="D10" s="4" t="s">
        <v>20</v>
      </c>
      <c r="E10" s="9"/>
      <c r="V10" s="43">
        <v>500</v>
      </c>
      <c r="W10" s="43">
        <f t="shared" si="0"/>
        <v>8.0333634475952495E-4</v>
      </c>
    </row>
    <row r="11" spans="1:23">
      <c r="A11" s="9" t="s">
        <v>15</v>
      </c>
      <c r="B11" s="9"/>
      <c r="C11" s="17">
        <f ca="1">INTERCEPT(INDIRECT($E$9):G987,INDIRECT($D$9):F987)</f>
        <v>3.035178545330963E-4</v>
      </c>
      <c r="D11" s="3">
        <f>+E11*F11</f>
        <v>1.5385661950368342E-3</v>
      </c>
      <c r="E11" s="32">
        <v>1.5385661950368342E-3</v>
      </c>
      <c r="F11">
        <v>1</v>
      </c>
      <c r="V11" s="43">
        <v>1000</v>
      </c>
      <c r="W11" s="43">
        <f t="shared" si="0"/>
        <v>5.1253798116180217E-4</v>
      </c>
    </row>
    <row r="12" spans="1:23">
      <c r="A12" s="9" t="s">
        <v>16</v>
      </c>
      <c r="B12" s="9"/>
      <c r="C12" s="17">
        <f ca="1">SLOPE(INDIRECT($E$9):G987,INDIRECT($D$9):F987)</f>
        <v>8.091624563193276E-7</v>
      </c>
      <c r="D12" s="3">
        <f>+E12*F12</f>
        <v>-1.914891187234205E-6</v>
      </c>
      <c r="E12" s="33">
        <v>-1.914891187234205E-2</v>
      </c>
      <c r="F12" s="34">
        <v>1E-4</v>
      </c>
      <c r="V12" s="43">
        <v>1500</v>
      </c>
      <c r="W12" s="43">
        <f t="shared" si="0"/>
        <v>6.6617110424366591E-4</v>
      </c>
    </row>
    <row r="13" spans="1:23" ht="13.5" thickBot="1">
      <c r="A13" s="9" t="s">
        <v>18</v>
      </c>
      <c r="B13" s="9"/>
      <c r="C13" s="3" t="s">
        <v>13</v>
      </c>
      <c r="D13" s="3">
        <f>+E13*F13</f>
        <v>8.8886297335917299E-10</v>
      </c>
      <c r="E13" s="35">
        <v>8.8886297335917297E-2</v>
      </c>
      <c r="F13" s="34">
        <v>1E-8</v>
      </c>
      <c r="V13" s="43">
        <v>2000</v>
      </c>
      <c r="W13" s="43">
        <f t="shared" si="0"/>
        <v>1.2642357140051162E-3</v>
      </c>
    </row>
    <row r="14" spans="1:23">
      <c r="A14" s="9"/>
      <c r="B14" s="9"/>
      <c r="C14" s="9"/>
      <c r="E14">
        <f>SUM(T21:T945)</f>
        <v>2.3269549649779517E-3</v>
      </c>
      <c r="V14" s="43">
        <v>2500</v>
      </c>
      <c r="W14" s="43">
        <f t="shared" si="0"/>
        <v>2.3067318104461527E-3</v>
      </c>
    </row>
    <row r="15" spans="1:23">
      <c r="A15" s="20" t="s">
        <v>17</v>
      </c>
      <c r="B15" s="9"/>
      <c r="C15" s="21">
        <f ca="1">(C7+C11)+(C8+C12)*INT(MAX(F21:F3528))</f>
        <v>59176.317539700904</v>
      </c>
      <c r="D15" s="19">
        <f>+C7+INT(MAX(F21:F1583))*C8+D11+D12*INT(MAX(F21:F4018))+D13*INT(MAX(F21:F4045)^2)</f>
        <v>59176.331452698265</v>
      </c>
      <c r="E15" s="22" t="s">
        <v>44</v>
      </c>
      <c r="F15" s="16">
        <v>1</v>
      </c>
      <c r="V15" s="43">
        <v>3000</v>
      </c>
      <c r="W15" s="43">
        <f t="shared" si="0"/>
        <v>3.793659393566776E-3</v>
      </c>
    </row>
    <row r="16" spans="1:23">
      <c r="A16" s="24" t="s">
        <v>4</v>
      </c>
      <c r="B16" s="9"/>
      <c r="C16" s="25">
        <f ca="1">+C8+C12</f>
        <v>1.5131281091624564</v>
      </c>
      <c r="D16" s="19">
        <f>+C8+D12+2*D13*MAX(F21:F891)</f>
        <v>1.5131353545959221</v>
      </c>
      <c r="E16" s="22" t="s">
        <v>36</v>
      </c>
      <c r="F16" s="23">
        <f ca="1">NOW()+15018.5+$C$5/24</f>
        <v>59957.749826620369</v>
      </c>
      <c r="V16" s="43">
        <v>3500</v>
      </c>
      <c r="W16" s="43">
        <f t="shared" si="0"/>
        <v>5.7250184633669855E-3</v>
      </c>
    </row>
    <row r="17" spans="1:24" ht="13.5" thickBot="1">
      <c r="A17" s="22" t="s">
        <v>38</v>
      </c>
      <c r="B17" s="9"/>
      <c r="C17" s="9">
        <f>COUNT(C21:C2186)</f>
        <v>24</v>
      </c>
      <c r="D17" s="22"/>
      <c r="E17" s="22" t="s">
        <v>45</v>
      </c>
      <c r="F17" s="23">
        <f ca="1">ROUND(2*(F16-$C$7)/$C$8,0)/2+F15</f>
        <v>6125.5</v>
      </c>
      <c r="V17" s="43">
        <v>4000</v>
      </c>
      <c r="W17" s="43">
        <f t="shared" si="0"/>
        <v>8.1008090198467827E-3</v>
      </c>
    </row>
    <row r="18" spans="1:24" ht="14.25" thickTop="1" thickBot="1">
      <c r="A18" s="24" t="s">
        <v>5</v>
      </c>
      <c r="B18" s="9"/>
      <c r="C18" s="48">
        <f ca="1">+C15</f>
        <v>59176.317539700904</v>
      </c>
      <c r="D18" s="49">
        <f ca="1">+C16</f>
        <v>1.5131281091624564</v>
      </c>
      <c r="E18" s="22" t="s">
        <v>37</v>
      </c>
      <c r="F18" s="19">
        <f ca="1">ROUND(2*(F16-$C$15)/$C$16,0)/2+F15</f>
        <v>517.5</v>
      </c>
    </row>
    <row r="19" spans="1:24" ht="14.25" thickTop="1" thickBot="1">
      <c r="A19" s="5" t="s">
        <v>46</v>
      </c>
      <c r="C19" s="36">
        <f>+D15</f>
        <v>59176.331452698265</v>
      </c>
      <c r="D19" s="37">
        <f>+D16</f>
        <v>1.5131353545959221</v>
      </c>
      <c r="E19" s="22" t="s">
        <v>39</v>
      </c>
      <c r="F19" s="26">
        <f ca="1">+$C$15+$C$16*F18-15018.5-$C$5/24</f>
        <v>44941.257169525808</v>
      </c>
    </row>
    <row r="20" spans="1:24" ht="1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59</v>
      </c>
      <c r="I20" s="7" t="s">
        <v>62</v>
      </c>
      <c r="J20" s="7" t="s">
        <v>56</v>
      </c>
      <c r="K20" s="7" t="s">
        <v>54</v>
      </c>
      <c r="L20" s="7" t="s">
        <v>24</v>
      </c>
      <c r="M20" s="7" t="s">
        <v>25</v>
      </c>
      <c r="N20" s="7" t="s">
        <v>22</v>
      </c>
      <c r="O20" s="38" t="s">
        <v>21</v>
      </c>
      <c r="P20" s="4" t="s">
        <v>14</v>
      </c>
      <c r="Q20" s="39" t="s">
        <v>47</v>
      </c>
      <c r="S20" s="6" t="s">
        <v>48</v>
      </c>
      <c r="T20" s="39" t="s">
        <v>49</v>
      </c>
      <c r="U20" s="40" t="s">
        <v>50</v>
      </c>
    </row>
    <row r="21" spans="1:24">
      <c r="A21" s="29" t="s">
        <v>43</v>
      </c>
      <c r="C21" s="29">
        <v>45960.675799999997</v>
      </c>
      <c r="D21" s="8" t="s">
        <v>13</v>
      </c>
      <c r="E21">
        <f t="shared" ref="E21:E42" si="1">+(C21-C$7)/C$8</f>
        <v>-3125.9888047753816</v>
      </c>
      <c r="F21">
        <f t="shared" ref="F21:F42" si="2">ROUND(2*E21,0)/2</f>
        <v>-3126</v>
      </c>
      <c r="G21">
        <f t="shared" ref="G21:G42" si="3">+C21-(C$7+F21*C$8)</f>
        <v>1.6939799999818206E-2</v>
      </c>
      <c r="I21">
        <f>+G21</f>
        <v>1.6939799999818206E-2</v>
      </c>
      <c r="N21">
        <f t="shared" ref="N21:N42" ca="1" si="4">+C$11+C$12*$F21</f>
        <v>-2.225923983921122E-3</v>
      </c>
      <c r="O21" s="41">
        <f t="shared" ref="O21:O42" si="5">+D$11+D$12*F21+D$13*F21^2</f>
        <v>1.6210374802988099E-2</v>
      </c>
      <c r="P21" s="42">
        <f t="shared" ref="P21:P42" si="6">+C21-15018.5</f>
        <v>30942.175799999997</v>
      </c>
      <c r="Q21" s="43">
        <f t="shared" ref="Q21:Q42" si="7">+(O21-G21)^2</f>
        <v>5.3206111777063972E-7</v>
      </c>
      <c r="S21" s="43">
        <v>1</v>
      </c>
      <c r="T21" s="43">
        <f t="shared" ref="T21:T42" si="8">+S21*Q21</f>
        <v>5.3206111777063972E-7</v>
      </c>
      <c r="U21" s="44"/>
      <c r="X21" s="29" t="s">
        <v>42</v>
      </c>
    </row>
    <row r="22" spans="1:24">
      <c r="A22" s="29" t="s">
        <v>43</v>
      </c>
      <c r="C22" s="29">
        <v>45963.698600000003</v>
      </c>
      <c r="D22" s="8" t="s">
        <v>13</v>
      </c>
      <c r="E22">
        <f t="shared" si="1"/>
        <v>-3123.9910878615397</v>
      </c>
      <c r="F22">
        <f t="shared" si="2"/>
        <v>-3124</v>
      </c>
      <c r="G22">
        <f t="shared" si="3"/>
        <v>1.3485200004652143E-2</v>
      </c>
      <c r="I22">
        <f>+G22</f>
        <v>1.3485200004652143E-2</v>
      </c>
      <c r="N22">
        <f t="shared" ca="1" si="4"/>
        <v>-2.224305659008483E-3</v>
      </c>
      <c r="O22" s="41">
        <f t="shared" si="5"/>
        <v>1.6195434233446642E-2</v>
      </c>
      <c r="P22" s="2">
        <f t="shared" si="6"/>
        <v>30945.198600000003</v>
      </c>
      <c r="Q22" s="43">
        <f t="shared" si="7"/>
        <v>7.3453695749293162E-6</v>
      </c>
      <c r="S22" s="43">
        <v>1</v>
      </c>
      <c r="T22" s="43">
        <f t="shared" si="8"/>
        <v>7.3453695749293162E-6</v>
      </c>
      <c r="X22" s="29" t="s">
        <v>42</v>
      </c>
    </row>
    <row r="23" spans="1:24">
      <c r="A23" s="29" t="s">
        <v>43</v>
      </c>
      <c r="C23" s="29">
        <v>46010.610099999998</v>
      </c>
      <c r="D23" s="8" t="s">
        <v>13</v>
      </c>
      <c r="E23">
        <f t="shared" si="1"/>
        <v>-3092.9880783989552</v>
      </c>
      <c r="F23">
        <f t="shared" si="2"/>
        <v>-3093</v>
      </c>
      <c r="G23">
        <f t="shared" si="3"/>
        <v>1.8038900001556613E-2</v>
      </c>
      <c r="I23">
        <f>+G23</f>
        <v>1.8038900001556613E-2</v>
      </c>
      <c r="N23">
        <f t="shared" ca="1" si="4"/>
        <v>-2.1992216228625839E-3</v>
      </c>
      <c r="O23" s="41">
        <f t="shared" si="5"/>
        <v>1.596476471237579E-2</v>
      </c>
      <c r="P23" s="2">
        <f t="shared" si="6"/>
        <v>30992.110099999998</v>
      </c>
      <c r="Q23" s="43">
        <f t="shared" si="7"/>
        <v>4.3020371978252157E-6</v>
      </c>
      <c r="S23" s="43">
        <v>1</v>
      </c>
      <c r="T23" s="43">
        <f t="shared" si="8"/>
        <v>4.3020371978252157E-6</v>
      </c>
      <c r="X23" s="29" t="s">
        <v>42</v>
      </c>
    </row>
    <row r="24" spans="1:24">
      <c r="A24" s="29" t="s">
        <v>43</v>
      </c>
      <c r="C24" s="8">
        <v>46013.6351</v>
      </c>
      <c r="D24" s="8" t="s">
        <v>13</v>
      </c>
      <c r="E24">
        <f t="shared" si="1"/>
        <v>-3090.9889075426754</v>
      </c>
      <c r="F24">
        <f t="shared" si="2"/>
        <v>-3091</v>
      </c>
      <c r="G24">
        <f t="shared" si="3"/>
        <v>1.6784300001745578E-2</v>
      </c>
      <c r="I24">
        <f>+G24</f>
        <v>1.6784300001745578E-2</v>
      </c>
      <c r="N24">
        <f t="shared" ca="1" si="4"/>
        <v>-2.1976032979499453E-3</v>
      </c>
      <c r="O24" s="41">
        <f t="shared" si="5"/>
        <v>1.5949941472746816E-2</v>
      </c>
      <c r="P24" s="2">
        <f t="shared" si="6"/>
        <v>30995.1351</v>
      </c>
      <c r="Q24" s="43">
        <f t="shared" si="7"/>
        <v>6.9615415491297756E-7</v>
      </c>
      <c r="S24" s="43">
        <v>1</v>
      </c>
      <c r="T24" s="43">
        <f t="shared" si="8"/>
        <v>6.9615415491297756E-7</v>
      </c>
      <c r="X24" s="29" t="s">
        <v>42</v>
      </c>
    </row>
    <row r="25" spans="1:24">
      <c r="A25" s="8" t="s">
        <v>29</v>
      </c>
      <c r="B25" s="10" t="s">
        <v>27</v>
      </c>
      <c r="C25" s="8">
        <v>50690.694799999997</v>
      </c>
      <c r="D25" s="8">
        <v>1.8E-3</v>
      </c>
      <c r="E25">
        <f t="shared" si="1"/>
        <v>0</v>
      </c>
      <c r="F25">
        <f t="shared" si="2"/>
        <v>0</v>
      </c>
      <c r="G25">
        <f t="shared" si="3"/>
        <v>0</v>
      </c>
      <c r="J25">
        <f>+G25</f>
        <v>0</v>
      </c>
      <c r="N25">
        <f t="shared" ca="1" si="4"/>
        <v>3.035178545330963E-4</v>
      </c>
      <c r="O25" s="41">
        <f t="shared" si="5"/>
        <v>1.5385661950368342E-3</v>
      </c>
      <c r="P25" s="2">
        <f t="shared" si="6"/>
        <v>35672.194799999997</v>
      </c>
      <c r="Q25" s="43">
        <f t="shared" si="7"/>
        <v>2.367185936510122E-6</v>
      </c>
      <c r="S25" s="43">
        <v>1</v>
      </c>
      <c r="T25" s="43">
        <f t="shared" si="8"/>
        <v>2.367185936510122E-6</v>
      </c>
    </row>
    <row r="26" spans="1:24">
      <c r="A26" s="8" t="s">
        <v>29</v>
      </c>
      <c r="B26" s="10" t="s">
        <v>28</v>
      </c>
      <c r="C26" s="8">
        <v>52169.777199999997</v>
      </c>
      <c r="D26" s="8">
        <v>1E-3</v>
      </c>
      <c r="E26">
        <f t="shared" si="1"/>
        <v>977.50030681489875</v>
      </c>
      <c r="F26">
        <f t="shared" si="2"/>
        <v>977.5</v>
      </c>
      <c r="G26">
        <f t="shared" si="3"/>
        <v>4.6424999891314656E-4</v>
      </c>
      <c r="J26">
        <f>+G26</f>
        <v>4.6424999891314656E-4</v>
      </c>
      <c r="N26">
        <f t="shared" ca="1" si="4"/>
        <v>1.0944741555852389E-3</v>
      </c>
      <c r="O26" s="41">
        <f t="shared" si="5"/>
        <v>5.160741859536721E-4</v>
      </c>
      <c r="P26" s="2">
        <f t="shared" si="6"/>
        <v>37151.277199999997</v>
      </c>
      <c r="Q26" s="43">
        <f t="shared" si="7"/>
        <v>2.6857463624113763E-9</v>
      </c>
      <c r="S26" s="43">
        <v>1</v>
      </c>
      <c r="T26" s="43">
        <f t="shared" si="8"/>
        <v>2.6857463624113763E-9</v>
      </c>
    </row>
    <row r="27" spans="1:24">
      <c r="A27" s="8" t="s">
        <v>29</v>
      </c>
      <c r="B27" s="10" t="s">
        <v>27</v>
      </c>
      <c r="C27" s="8">
        <v>52185.6636</v>
      </c>
      <c r="D27" s="8">
        <v>5.9999999999999995E-4</v>
      </c>
      <c r="E27">
        <f t="shared" si="1"/>
        <v>987.99935735744259</v>
      </c>
      <c r="F27">
        <f t="shared" si="2"/>
        <v>988</v>
      </c>
      <c r="G27">
        <f t="shared" si="3"/>
        <v>-9.723999974085018E-4</v>
      </c>
      <c r="J27">
        <f>+G27</f>
        <v>-9.723999974085018E-4</v>
      </c>
      <c r="N27">
        <f t="shared" ca="1" si="4"/>
        <v>1.1029703613765918E-3</v>
      </c>
      <c r="O27" s="41">
        <f t="shared" si="5"/>
        <v>5.1431196031615628E-4</v>
      </c>
      <c r="P27" s="2">
        <f t="shared" si="6"/>
        <v>37167.1636</v>
      </c>
      <c r="Q27" s="43">
        <f t="shared" si="7"/>
        <v>2.2103124452414857E-6</v>
      </c>
      <c r="S27" s="43">
        <v>1</v>
      </c>
      <c r="T27" s="43">
        <f t="shared" si="8"/>
        <v>2.2103124452414857E-6</v>
      </c>
    </row>
    <row r="28" spans="1:24">
      <c r="A28" s="8" t="s">
        <v>26</v>
      </c>
      <c r="B28" s="3" t="s">
        <v>27</v>
      </c>
      <c r="C28" s="31">
        <v>52895.322</v>
      </c>
      <c r="D28" s="31">
        <v>2.0000000000000001E-4</v>
      </c>
      <c r="E28">
        <f t="shared" si="1"/>
        <v>1457.0004784131531</v>
      </c>
      <c r="F28">
        <f t="shared" si="2"/>
        <v>1457</v>
      </c>
      <c r="G28">
        <f t="shared" si="3"/>
        <v>7.2390000423183665E-4</v>
      </c>
      <c r="I28">
        <f>+G28</f>
        <v>7.2390000423183665E-4</v>
      </c>
      <c r="N28">
        <f t="shared" ca="1" si="4"/>
        <v>1.4824675533903567E-3</v>
      </c>
      <c r="O28" s="41">
        <f t="shared" si="5"/>
        <v>6.3549160936914452E-4</v>
      </c>
      <c r="P28" s="2">
        <f t="shared" si="6"/>
        <v>37876.822</v>
      </c>
      <c r="Q28" s="43">
        <f t="shared" si="7"/>
        <v>7.8160442821976881E-9</v>
      </c>
      <c r="S28" s="43">
        <v>1</v>
      </c>
      <c r="T28" s="43">
        <f t="shared" si="8"/>
        <v>7.8160442821976881E-9</v>
      </c>
    </row>
    <row r="29" spans="1:24">
      <c r="A29" s="8" t="s">
        <v>26</v>
      </c>
      <c r="B29" s="3" t="s">
        <v>27</v>
      </c>
      <c r="C29" s="31">
        <v>52901.374000000003</v>
      </c>
      <c r="D29" s="31">
        <v>1E-4</v>
      </c>
      <c r="E29">
        <f t="shared" si="1"/>
        <v>1461.0001418915685</v>
      </c>
      <c r="F29">
        <f t="shared" si="2"/>
        <v>1461</v>
      </c>
      <c r="G29">
        <f t="shared" si="3"/>
        <v>2.1470000501722097E-4</v>
      </c>
      <c r="I29">
        <f>+G29</f>
        <v>2.1470000501722097E-4</v>
      </c>
      <c r="N29">
        <f t="shared" ca="1" si="4"/>
        <v>1.485704203215634E-3</v>
      </c>
      <c r="O29" s="41">
        <f t="shared" si="5"/>
        <v>6.3820685324525624E-4</v>
      </c>
      <c r="P29" s="2">
        <f t="shared" si="6"/>
        <v>37882.874000000003</v>
      </c>
      <c r="Q29" s="43">
        <f t="shared" si="7"/>
        <v>1.793580504960441E-7</v>
      </c>
      <c r="S29" s="43">
        <v>1</v>
      </c>
      <c r="T29" s="43">
        <f t="shared" si="8"/>
        <v>1.793580504960441E-7</v>
      </c>
    </row>
    <row r="30" spans="1:24">
      <c r="A30" s="8" t="s">
        <v>29</v>
      </c>
      <c r="B30" s="10" t="s">
        <v>27</v>
      </c>
      <c r="C30" s="8">
        <v>52928.610699999997</v>
      </c>
      <c r="D30" s="8">
        <v>1.4E-3</v>
      </c>
      <c r="E30">
        <f t="shared" si="1"/>
        <v>1479.0004119283287</v>
      </c>
      <c r="F30">
        <f t="shared" si="2"/>
        <v>1479</v>
      </c>
      <c r="G30">
        <f t="shared" si="3"/>
        <v>6.2330000218935311E-4</v>
      </c>
      <c r="J30">
        <f>+G30</f>
        <v>6.2330000218935311E-4</v>
      </c>
      <c r="N30">
        <f t="shared" ca="1" si="4"/>
        <v>1.5002691274293818E-3</v>
      </c>
      <c r="O30" s="41">
        <f t="shared" si="5"/>
        <v>6.5077744042520754E-4</v>
      </c>
      <c r="P30" s="2">
        <f t="shared" si="6"/>
        <v>37910.110699999997</v>
      </c>
      <c r="Q30" s="43">
        <f t="shared" si="7"/>
        <v>7.5500961200519518E-10</v>
      </c>
      <c r="S30" s="43">
        <v>1</v>
      </c>
      <c r="T30" s="43">
        <f t="shared" si="8"/>
        <v>7.5500961200519518E-10</v>
      </c>
    </row>
    <row r="31" spans="1:24">
      <c r="A31" s="8" t="s">
        <v>29</v>
      </c>
      <c r="B31" s="10" t="s">
        <v>28</v>
      </c>
      <c r="C31" s="8">
        <v>53207.780200000001</v>
      </c>
      <c r="D31" s="8">
        <v>2.0000000000000001E-4</v>
      </c>
      <c r="E31">
        <f t="shared" si="1"/>
        <v>1663.4987684116225</v>
      </c>
      <c r="F31">
        <f t="shared" si="2"/>
        <v>1663.5</v>
      </c>
      <c r="G31">
        <f t="shared" si="3"/>
        <v>-1.8635499945958145E-3</v>
      </c>
      <c r="J31">
        <f>+G31</f>
        <v>-1.8635499945958145E-3</v>
      </c>
      <c r="N31">
        <f t="shared" ca="1" si="4"/>
        <v>1.6495596006202977E-3</v>
      </c>
      <c r="O31" s="41">
        <f t="shared" si="5"/>
        <v>8.1283499078312841E-4</v>
      </c>
      <c r="P31" s="2">
        <f t="shared" si="6"/>
        <v>38189.280200000001</v>
      </c>
      <c r="Q31" s="43">
        <f t="shared" si="7"/>
        <v>7.1630365899618444E-6</v>
      </c>
      <c r="S31" s="43">
        <v>1</v>
      </c>
      <c r="T31" s="43">
        <f t="shared" si="8"/>
        <v>7.1630365899618444E-6</v>
      </c>
    </row>
    <row r="32" spans="1:24">
      <c r="A32" s="8" t="s">
        <v>29</v>
      </c>
      <c r="B32" s="10" t="s">
        <v>27</v>
      </c>
      <c r="C32" s="8">
        <v>53226.696600000003</v>
      </c>
      <c r="D32" s="8">
        <v>2.0000000000000001E-4</v>
      </c>
      <c r="E32">
        <f t="shared" si="1"/>
        <v>1676.0002942250831</v>
      </c>
      <c r="F32">
        <f t="shared" si="2"/>
        <v>1676</v>
      </c>
      <c r="G32">
        <f t="shared" si="3"/>
        <v>4.4520000665215775E-4</v>
      </c>
      <c r="J32">
        <f>+G32</f>
        <v>4.4520000665215775E-4</v>
      </c>
      <c r="N32">
        <f t="shared" ca="1" si="4"/>
        <v>1.6596741313242894E-3</v>
      </c>
      <c r="O32" s="41">
        <f t="shared" si="5"/>
        <v>8.2600332468686297E-4</v>
      </c>
      <c r="P32" s="2">
        <f t="shared" si="6"/>
        <v>38208.196600000003</v>
      </c>
      <c r="Q32" s="43">
        <f t="shared" si="7"/>
        <v>1.4501116702624084E-7</v>
      </c>
      <c r="S32" s="43">
        <v>1</v>
      </c>
      <c r="T32" s="43">
        <f t="shared" si="8"/>
        <v>1.4501116702624084E-7</v>
      </c>
    </row>
    <row r="33" spans="1:20">
      <c r="A33" s="8" t="s">
        <v>26</v>
      </c>
      <c r="B33" s="3" t="s">
        <v>27</v>
      </c>
      <c r="C33" s="31">
        <v>53246.366300000002</v>
      </c>
      <c r="D33" s="31">
        <v>5.0000000000000001E-4</v>
      </c>
      <c r="E33">
        <f t="shared" si="1"/>
        <v>1688.9996631479744</v>
      </c>
      <c r="F33">
        <f t="shared" si="2"/>
        <v>1689</v>
      </c>
      <c r="G33">
        <f t="shared" si="3"/>
        <v>-5.0969999574590474E-4</v>
      </c>
      <c r="I33">
        <f>+G33</f>
        <v>-5.0969999574590474E-4</v>
      </c>
      <c r="N33">
        <f t="shared" ca="1" si="4"/>
        <v>1.6701932432564405E-3</v>
      </c>
      <c r="O33" s="41">
        <f t="shared" si="5"/>
        <v>8.3999305002241528E-4</v>
      </c>
      <c r="P33" s="2">
        <f t="shared" si="6"/>
        <v>38227.866300000002</v>
      </c>
      <c r="Q33" s="43">
        <f t="shared" si="7"/>
        <v>1.8216713177953645E-6</v>
      </c>
      <c r="S33" s="43">
        <v>1</v>
      </c>
      <c r="T33" s="43">
        <f t="shared" si="8"/>
        <v>1.8216713177953645E-6</v>
      </c>
    </row>
    <row r="34" spans="1:20">
      <c r="A34" s="8" t="s">
        <v>29</v>
      </c>
      <c r="B34" s="10" t="s">
        <v>27</v>
      </c>
      <c r="C34" s="8">
        <v>53270.575700000001</v>
      </c>
      <c r="D34" s="8">
        <v>2.0000000000000001E-4</v>
      </c>
      <c r="E34">
        <f t="shared" si="1"/>
        <v>1704.9992422977259</v>
      </c>
      <c r="F34">
        <f t="shared" si="2"/>
        <v>1705</v>
      </c>
      <c r="G34">
        <f t="shared" si="3"/>
        <v>-1.1464999988675117E-3</v>
      </c>
      <c r="J34">
        <f t="shared" ref="J34:J42" si="9">+G34</f>
        <v>-1.1464999988675117E-3</v>
      </c>
      <c r="N34">
        <f t="shared" ca="1" si="4"/>
        <v>1.6831398425575499E-3</v>
      </c>
      <c r="O34" s="41">
        <f t="shared" si="5"/>
        <v>8.5762360593196483E-4</v>
      </c>
      <c r="P34" s="2">
        <f t="shared" si="6"/>
        <v>38252.075700000001</v>
      </c>
      <c r="Q34" s="43">
        <f t="shared" si="7"/>
        <v>4.0165114233144483E-6</v>
      </c>
      <c r="S34" s="43">
        <v>1</v>
      </c>
      <c r="T34" s="43">
        <f t="shared" si="8"/>
        <v>4.0165114233144483E-6</v>
      </c>
    </row>
    <row r="35" spans="1:20">
      <c r="A35" s="29" t="s">
        <v>41</v>
      </c>
      <c r="B35" s="30" t="s">
        <v>27</v>
      </c>
      <c r="C35" s="29">
        <v>54443.255879999997</v>
      </c>
      <c r="D35" s="29">
        <v>5.0000000000000001E-4</v>
      </c>
      <c r="E35">
        <f t="shared" si="1"/>
        <v>2480.003552906619</v>
      </c>
      <c r="F35">
        <f t="shared" si="2"/>
        <v>2480</v>
      </c>
      <c r="G35">
        <f t="shared" si="3"/>
        <v>5.37600000097882E-3</v>
      </c>
      <c r="J35">
        <f t="shared" si="9"/>
        <v>5.37600000097882E-3</v>
      </c>
      <c r="N35">
        <f t="shared" ca="1" si="4"/>
        <v>2.3102407462050286E-3</v>
      </c>
      <c r="O35" s="41">
        <f t="shared" si="5"/>
        <v>2.2564988820442636E-3</v>
      </c>
      <c r="P35" s="2">
        <f t="shared" si="6"/>
        <v>39424.755879999997</v>
      </c>
      <c r="Q35" s="43">
        <f t="shared" si="7"/>
        <v>9.7312872310339494E-6</v>
      </c>
      <c r="S35" s="43">
        <v>1</v>
      </c>
      <c r="T35" s="43">
        <f t="shared" si="8"/>
        <v>9.7312872310339494E-6</v>
      </c>
    </row>
    <row r="36" spans="1:20">
      <c r="A36" s="29" t="s">
        <v>41</v>
      </c>
      <c r="B36" s="30" t="s">
        <v>27</v>
      </c>
      <c r="C36" s="29">
        <v>54443.256479999996</v>
      </c>
      <c r="D36" s="29">
        <v>8.9999999999999998E-4</v>
      </c>
      <c r="E36">
        <f t="shared" si="1"/>
        <v>2480.003949436375</v>
      </c>
      <c r="F36">
        <f t="shared" si="2"/>
        <v>2480</v>
      </c>
      <c r="G36">
        <f t="shared" si="3"/>
        <v>5.9760000003734604E-3</v>
      </c>
      <c r="J36">
        <f t="shared" si="9"/>
        <v>5.9760000003734604E-3</v>
      </c>
      <c r="N36">
        <f t="shared" ca="1" si="4"/>
        <v>2.3102407462050286E-3</v>
      </c>
      <c r="O36" s="41">
        <f t="shared" si="5"/>
        <v>2.2564988820442636E-3</v>
      </c>
      <c r="P36" s="2">
        <f t="shared" si="6"/>
        <v>39424.756479999996</v>
      </c>
      <c r="Q36" s="43">
        <f t="shared" si="7"/>
        <v>1.3834688569252145E-5</v>
      </c>
      <c r="S36" s="43">
        <v>1</v>
      </c>
      <c r="T36" s="43">
        <f t="shared" si="8"/>
        <v>1.3834688569252145E-5</v>
      </c>
    </row>
    <row r="37" spans="1:20">
      <c r="A37" s="29" t="s">
        <v>41</v>
      </c>
      <c r="B37" s="30" t="s">
        <v>27</v>
      </c>
      <c r="C37" s="29">
        <v>54691.407039999998</v>
      </c>
      <c r="D37" s="29">
        <v>5.9999999999999995E-4</v>
      </c>
      <c r="E37">
        <f t="shared" si="1"/>
        <v>2644.0024180384562</v>
      </c>
      <c r="F37">
        <f t="shared" si="2"/>
        <v>2644</v>
      </c>
      <c r="G37">
        <f t="shared" si="3"/>
        <v>3.6588000002666377E-3</v>
      </c>
      <c r="J37">
        <f t="shared" si="9"/>
        <v>3.6588000002666377E-3</v>
      </c>
      <c r="N37">
        <f t="shared" ca="1" si="4"/>
        <v>2.4429433890413984E-3</v>
      </c>
      <c r="O37" s="41">
        <f t="shared" si="5"/>
        <v>2.689400282918608E-3</v>
      </c>
      <c r="P37" s="2">
        <f t="shared" si="6"/>
        <v>39672.907039999998</v>
      </c>
      <c r="Q37" s="43">
        <f t="shared" si="7"/>
        <v>9.3973581199443973E-7</v>
      </c>
      <c r="S37" s="43">
        <v>1</v>
      </c>
      <c r="T37" s="43">
        <f t="shared" si="8"/>
        <v>9.3973581199443973E-7</v>
      </c>
    </row>
    <row r="38" spans="1:20">
      <c r="A38" s="29" t="s">
        <v>41</v>
      </c>
      <c r="B38" s="30" t="s">
        <v>27</v>
      </c>
      <c r="C38" s="29">
        <v>54691.408940000001</v>
      </c>
      <c r="D38" s="29">
        <v>5.0000000000000001E-4</v>
      </c>
      <c r="E38">
        <f t="shared" si="1"/>
        <v>2644.0036737160208</v>
      </c>
      <c r="F38">
        <f t="shared" si="2"/>
        <v>2644</v>
      </c>
      <c r="G38">
        <f t="shared" si="3"/>
        <v>5.5588000032003038E-3</v>
      </c>
      <c r="J38">
        <f t="shared" si="9"/>
        <v>5.5588000032003038E-3</v>
      </c>
      <c r="N38">
        <f t="shared" ca="1" si="4"/>
        <v>2.4429433890413984E-3</v>
      </c>
      <c r="O38" s="41">
        <f t="shared" si="5"/>
        <v>2.689400282918608E-3</v>
      </c>
      <c r="P38" s="2">
        <f t="shared" si="6"/>
        <v>39672.908940000001</v>
      </c>
      <c r="Q38" s="43">
        <f t="shared" si="7"/>
        <v>8.2334547547526743E-6</v>
      </c>
      <c r="S38" s="43">
        <v>1</v>
      </c>
      <c r="T38" s="43">
        <f t="shared" si="8"/>
        <v>8.2334547547526743E-6</v>
      </c>
    </row>
    <row r="39" spans="1:20">
      <c r="A39" s="29" t="s">
        <v>41</v>
      </c>
      <c r="B39" s="30" t="s">
        <v>27</v>
      </c>
      <c r="C39" s="29">
        <v>54691.409740000003</v>
      </c>
      <c r="D39" s="29">
        <v>4.0000000000000002E-4</v>
      </c>
      <c r="E39">
        <f t="shared" si="1"/>
        <v>2644.004202422364</v>
      </c>
      <c r="F39">
        <f t="shared" si="2"/>
        <v>2644</v>
      </c>
      <c r="G39">
        <f t="shared" si="3"/>
        <v>6.3588000048184767E-3</v>
      </c>
      <c r="J39">
        <f t="shared" si="9"/>
        <v>6.3588000048184767E-3</v>
      </c>
      <c r="N39">
        <f t="shared" ca="1" si="4"/>
        <v>2.4429433890413984E-3</v>
      </c>
      <c r="O39" s="41">
        <f t="shared" si="5"/>
        <v>2.689400282918608E-3</v>
      </c>
      <c r="P39" s="2">
        <f t="shared" si="6"/>
        <v>39672.909740000003</v>
      </c>
      <c r="Q39" s="43">
        <f t="shared" si="7"/>
        <v>1.3464494319078834E-5</v>
      </c>
      <c r="S39" s="43">
        <v>1</v>
      </c>
      <c r="T39" s="43">
        <f t="shared" si="8"/>
        <v>1.3464494319078834E-5</v>
      </c>
    </row>
    <row r="40" spans="1:20">
      <c r="A40" s="45" t="s">
        <v>51</v>
      </c>
      <c r="B40" s="46" t="s">
        <v>27</v>
      </c>
      <c r="C40" s="47">
        <v>56596.435510000003</v>
      </c>
      <c r="D40" s="45">
        <v>5.9999999999999995E-4</v>
      </c>
      <c r="E40">
        <f t="shared" si="1"/>
        <v>3903.0032106353547</v>
      </c>
      <c r="F40">
        <f t="shared" si="2"/>
        <v>3903</v>
      </c>
      <c r="G40">
        <f t="shared" si="3"/>
        <v>4.8581000082776882E-3</v>
      </c>
      <c r="J40">
        <f t="shared" si="9"/>
        <v>4.8581000082776882E-3</v>
      </c>
      <c r="N40">
        <f t="shared" ca="1" si="4"/>
        <v>3.4616789215474318E-3</v>
      </c>
      <c r="O40" s="41">
        <f t="shared" si="5"/>
        <v>7.6051591093981193E-3</v>
      </c>
      <c r="P40" s="2">
        <f t="shared" si="6"/>
        <v>41577.935510000003</v>
      </c>
      <c r="Q40" s="43">
        <f t="shared" si="7"/>
        <v>7.5463337050485907E-6</v>
      </c>
      <c r="S40" s="43">
        <v>4</v>
      </c>
      <c r="T40" s="43">
        <f t="shared" si="8"/>
        <v>3.0185334820194363E-5</v>
      </c>
    </row>
    <row r="41" spans="1:20">
      <c r="A41" s="45" t="s">
        <v>51</v>
      </c>
      <c r="B41" s="46" t="s">
        <v>27</v>
      </c>
      <c r="C41" s="47">
        <v>56596.437449999998</v>
      </c>
      <c r="D41" s="45">
        <v>6.9999999999999999E-4</v>
      </c>
      <c r="E41">
        <f t="shared" si="1"/>
        <v>3903.0044927482309</v>
      </c>
      <c r="F41">
        <f t="shared" si="2"/>
        <v>3903</v>
      </c>
      <c r="G41">
        <f t="shared" si="3"/>
        <v>6.7981000029249117E-3</v>
      </c>
      <c r="J41">
        <f t="shared" si="9"/>
        <v>6.7981000029249117E-3</v>
      </c>
      <c r="N41">
        <f t="shared" ca="1" si="4"/>
        <v>3.4616789215474318E-3</v>
      </c>
      <c r="O41" s="41">
        <f t="shared" si="5"/>
        <v>7.6051591093981193E-3</v>
      </c>
      <c r="P41" s="2">
        <f t="shared" si="6"/>
        <v>41577.937449999998</v>
      </c>
      <c r="Q41" s="43">
        <f t="shared" si="7"/>
        <v>6.5134440134133219E-7</v>
      </c>
      <c r="S41" s="43">
        <v>2</v>
      </c>
      <c r="T41" s="43">
        <f t="shared" si="8"/>
        <v>1.3026888026826644E-6</v>
      </c>
    </row>
    <row r="42" spans="1:20">
      <c r="A42" s="45" t="s">
        <v>51</v>
      </c>
      <c r="B42" s="46" t="s">
        <v>27</v>
      </c>
      <c r="C42" s="47">
        <v>56596.440649999997</v>
      </c>
      <c r="D42" s="45">
        <v>1E-3</v>
      </c>
      <c r="E42">
        <f t="shared" si="1"/>
        <v>3903.006607573599</v>
      </c>
      <c r="F42">
        <f t="shared" si="2"/>
        <v>3903</v>
      </c>
      <c r="G42">
        <f t="shared" si="3"/>
        <v>9.998100002121646E-3</v>
      </c>
      <c r="J42">
        <f t="shared" si="9"/>
        <v>9.998100002121646E-3</v>
      </c>
      <c r="N42">
        <f t="shared" ca="1" si="4"/>
        <v>3.4616789215474318E-3</v>
      </c>
      <c r="O42" s="41">
        <f t="shared" si="5"/>
        <v>7.6051591093981193E-3</v>
      </c>
      <c r="P42" s="2">
        <f t="shared" si="6"/>
        <v>41577.940649999997</v>
      </c>
      <c r="Q42" s="43">
        <f t="shared" si="7"/>
        <v>5.7261661160684689E-6</v>
      </c>
      <c r="S42" s="43">
        <v>3</v>
      </c>
      <c r="T42" s="43">
        <f t="shared" si="8"/>
        <v>1.7178498348205405E-5</v>
      </c>
    </row>
    <row r="43" spans="1:20">
      <c r="A43" s="63" t="s">
        <v>132</v>
      </c>
      <c r="B43" s="64" t="s">
        <v>27</v>
      </c>
      <c r="C43" s="65">
        <v>59123.350999999791</v>
      </c>
      <c r="D43" s="63">
        <v>8.0000000000000002E-3</v>
      </c>
      <c r="E43">
        <f t="shared" ref="E43:E44" si="10">+(C43-C$7)/C$8</f>
        <v>5572.9985177055451</v>
      </c>
      <c r="F43">
        <f t="shared" ref="F43:F44" si="11">ROUND(2*E43,0)/2</f>
        <v>5573</v>
      </c>
      <c r="G43">
        <f t="shared" ref="G43:G44" si="12">+C43-(C$7+F43*C$8)</f>
        <v>-2.2429002056014724E-3</v>
      </c>
      <c r="J43">
        <f t="shared" ref="J43:J44" si="13">+G43</f>
        <v>-2.2429002056014724E-3</v>
      </c>
      <c r="N43">
        <f t="shared" ref="N43:N44" ca="1" si="14">+C$11+C$12*$F43</f>
        <v>4.8129802236007088E-3</v>
      </c>
      <c r="O43" s="41">
        <f t="shared" ref="O43:O44" si="15">+D$11+D$12*F43+D$13*F43^2</f>
        <v>1.847347627108804E-2</v>
      </c>
      <c r="P43" s="2">
        <f t="shared" ref="P43:P44" si="16">+C43-15018.5</f>
        <v>44104.850999999791</v>
      </c>
      <c r="Q43" s="43">
        <f t="shared" ref="Q43:Q44" si="17">+(O43-G43)^2</f>
        <v>4.2916825432393459E-4</v>
      </c>
      <c r="S43" s="43">
        <v>3</v>
      </c>
      <c r="T43" s="43">
        <f t="shared" ref="T43:T44" si="18">+S43*Q43</f>
        <v>1.2875047629718039E-3</v>
      </c>
    </row>
    <row r="44" spans="1:20">
      <c r="A44" s="63" t="s">
        <v>132</v>
      </c>
      <c r="B44" s="64" t="s">
        <v>27</v>
      </c>
      <c r="C44" s="65">
        <v>59176.31399999978</v>
      </c>
      <c r="D44" s="63">
        <v>0.01</v>
      </c>
      <c r="E44">
        <f t="shared" si="10"/>
        <v>5608.0008602050748</v>
      </c>
      <c r="F44">
        <f t="shared" si="11"/>
        <v>5608</v>
      </c>
      <c r="G44">
        <f t="shared" si="12"/>
        <v>1.3015997828915715E-3</v>
      </c>
      <c r="J44">
        <f t="shared" si="13"/>
        <v>1.3015997828915715E-3</v>
      </c>
      <c r="N44">
        <f t="shared" ca="1" si="14"/>
        <v>4.8413009095718863E-3</v>
      </c>
      <c r="O44" s="41">
        <f t="shared" si="15"/>
        <v>1.8754298271214356E-2</v>
      </c>
      <c r="P44" s="2">
        <f t="shared" si="16"/>
        <v>44157.81399999978</v>
      </c>
      <c r="Q44" s="43">
        <f t="shared" si="17"/>
        <v>3.045966845243044E-4</v>
      </c>
      <c r="S44" s="43">
        <v>3</v>
      </c>
      <c r="T44" s="43">
        <f t="shared" si="18"/>
        <v>9.1379005357291319E-4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7"/>
  <sheetViews>
    <sheetView topLeftCell="A6" workbookViewId="0">
      <selection activeCell="A25" sqref="A25:D29"/>
    </sheetView>
  </sheetViews>
  <sheetFormatPr defaultRowHeight="12.75"/>
  <cols>
    <col min="1" max="1" width="19.7109375" style="8" customWidth="1"/>
    <col min="2" max="2" width="4.42578125" style="9" customWidth="1"/>
    <col min="3" max="3" width="12.7109375" style="8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8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>
      <c r="A1" s="50" t="s">
        <v>52</v>
      </c>
      <c r="I1" s="51" t="s">
        <v>53</v>
      </c>
      <c r="J1" s="52" t="s">
        <v>54</v>
      </c>
    </row>
    <row r="2" spans="1:16">
      <c r="I2" s="53" t="s">
        <v>55</v>
      </c>
      <c r="J2" s="54" t="s">
        <v>56</v>
      </c>
    </row>
    <row r="3" spans="1:16">
      <c r="A3" s="55" t="s">
        <v>57</v>
      </c>
      <c r="I3" s="53" t="s">
        <v>58</v>
      </c>
      <c r="J3" s="54" t="s">
        <v>59</v>
      </c>
    </row>
    <row r="4" spans="1:16">
      <c r="I4" s="53" t="s">
        <v>60</v>
      </c>
      <c r="J4" s="54" t="s">
        <v>59</v>
      </c>
    </row>
    <row r="5" spans="1:16" ht="13.5" thickBot="1">
      <c r="I5" s="56" t="s">
        <v>61</v>
      </c>
      <c r="J5" s="57" t="s">
        <v>62</v>
      </c>
    </row>
    <row r="10" spans="1:16" ht="13.5" thickBot="1"/>
    <row r="11" spans="1:16" ht="12.75" customHeight="1" thickBot="1">
      <c r="A11" s="8" t="str">
        <f t="shared" ref="A11:A29" si="0">P11</f>
        <v>IBVS 2663 </v>
      </c>
      <c r="B11" s="3" t="str">
        <f t="shared" ref="B11:B29" si="1">IF(H11=INT(H11),"I","II")</f>
        <v>I</v>
      </c>
      <c r="C11" s="8">
        <f t="shared" ref="C11:C29" si="2">1*G11</f>
        <v>45960.675799999997</v>
      </c>
      <c r="D11" s="9" t="str">
        <f t="shared" ref="D11:D29" si="3">VLOOKUP(F11,I$1:J$5,2,FALSE)</f>
        <v>vis</v>
      </c>
      <c r="E11" s="58">
        <f>VLOOKUP(C11,Active!C$21:E$968,3,FALSE)</f>
        <v>-3125.9888047753816</v>
      </c>
      <c r="F11" s="3" t="s">
        <v>61</v>
      </c>
      <c r="G11" s="9" t="str">
        <f t="shared" ref="G11:G29" si="4">MID(I11,3,LEN(I11)-3)</f>
        <v>45960.6758</v>
      </c>
      <c r="H11" s="8">
        <f t="shared" ref="H11:H29" si="5">1*K11</f>
        <v>-4322</v>
      </c>
      <c r="I11" s="59" t="s">
        <v>63</v>
      </c>
      <c r="J11" s="60" t="s">
        <v>64</v>
      </c>
      <c r="K11" s="59">
        <v>-4322</v>
      </c>
      <c r="L11" s="59" t="s">
        <v>65</v>
      </c>
      <c r="M11" s="60" t="s">
        <v>66</v>
      </c>
      <c r="N11" s="60" t="s">
        <v>67</v>
      </c>
      <c r="O11" s="61" t="s">
        <v>68</v>
      </c>
      <c r="P11" s="62" t="s">
        <v>69</v>
      </c>
    </row>
    <row r="12" spans="1:16" ht="12.75" customHeight="1" thickBot="1">
      <c r="A12" s="8" t="str">
        <f t="shared" si="0"/>
        <v>IBVS 2663 </v>
      </c>
      <c r="B12" s="3" t="str">
        <f t="shared" si="1"/>
        <v>I</v>
      </c>
      <c r="C12" s="8">
        <f t="shared" si="2"/>
        <v>45963.698600000003</v>
      </c>
      <c r="D12" s="9" t="str">
        <f t="shared" si="3"/>
        <v>vis</v>
      </c>
      <c r="E12" s="58">
        <f>VLOOKUP(C12,Active!C$21:E$968,3,FALSE)</f>
        <v>-3123.9910878615397</v>
      </c>
      <c r="F12" s="3" t="s">
        <v>61</v>
      </c>
      <c r="G12" s="9" t="str">
        <f t="shared" si="4"/>
        <v>45963.6986</v>
      </c>
      <c r="H12" s="8">
        <f t="shared" si="5"/>
        <v>-4320</v>
      </c>
      <c r="I12" s="59" t="s">
        <v>70</v>
      </c>
      <c r="J12" s="60" t="s">
        <v>71</v>
      </c>
      <c r="K12" s="59">
        <v>-4320</v>
      </c>
      <c r="L12" s="59" t="s">
        <v>72</v>
      </c>
      <c r="M12" s="60" t="s">
        <v>66</v>
      </c>
      <c r="N12" s="60" t="s">
        <v>67</v>
      </c>
      <c r="O12" s="61" t="s">
        <v>68</v>
      </c>
      <c r="P12" s="62" t="s">
        <v>69</v>
      </c>
    </row>
    <row r="13" spans="1:16" ht="12.75" customHeight="1" thickBot="1">
      <c r="A13" s="8" t="str">
        <f t="shared" si="0"/>
        <v>IBVS 2663 </v>
      </c>
      <c r="B13" s="3" t="str">
        <f t="shared" si="1"/>
        <v>I</v>
      </c>
      <c r="C13" s="8">
        <f t="shared" si="2"/>
        <v>46010.610099999998</v>
      </c>
      <c r="D13" s="9" t="str">
        <f t="shared" si="3"/>
        <v>vis</v>
      </c>
      <c r="E13" s="58">
        <f>VLOOKUP(C13,Active!C$21:E$968,3,FALSE)</f>
        <v>-3092.9880783989552</v>
      </c>
      <c r="F13" s="3" t="s">
        <v>61</v>
      </c>
      <c r="G13" s="9" t="str">
        <f t="shared" si="4"/>
        <v>46010.6101</v>
      </c>
      <c r="H13" s="8">
        <f t="shared" si="5"/>
        <v>-4289</v>
      </c>
      <c r="I13" s="59" t="s">
        <v>73</v>
      </c>
      <c r="J13" s="60" t="s">
        <v>74</v>
      </c>
      <c r="K13" s="59">
        <v>-4289</v>
      </c>
      <c r="L13" s="59" t="s">
        <v>75</v>
      </c>
      <c r="M13" s="60" t="s">
        <v>66</v>
      </c>
      <c r="N13" s="60" t="s">
        <v>67</v>
      </c>
      <c r="O13" s="61" t="s">
        <v>68</v>
      </c>
      <c r="P13" s="62" t="s">
        <v>69</v>
      </c>
    </row>
    <row r="14" spans="1:16" ht="12.75" customHeight="1" thickBot="1">
      <c r="A14" s="8" t="str">
        <f t="shared" si="0"/>
        <v>IBVS 2663 </v>
      </c>
      <c r="B14" s="3" t="str">
        <f t="shared" si="1"/>
        <v>I</v>
      </c>
      <c r="C14" s="8">
        <f t="shared" si="2"/>
        <v>46013.6351</v>
      </c>
      <c r="D14" s="9" t="str">
        <f t="shared" si="3"/>
        <v>vis</v>
      </c>
      <c r="E14" s="58">
        <f>VLOOKUP(C14,Active!C$21:E$968,3,FALSE)</f>
        <v>-3090.9889075426754</v>
      </c>
      <c r="F14" s="3" t="s">
        <v>61</v>
      </c>
      <c r="G14" s="9" t="str">
        <f t="shared" si="4"/>
        <v>46013.6351</v>
      </c>
      <c r="H14" s="8">
        <f t="shared" si="5"/>
        <v>-4287</v>
      </c>
      <c r="I14" s="59" t="s">
        <v>76</v>
      </c>
      <c r="J14" s="60" t="s">
        <v>77</v>
      </c>
      <c r="K14" s="59">
        <v>-4287</v>
      </c>
      <c r="L14" s="59" t="s">
        <v>65</v>
      </c>
      <c r="M14" s="60" t="s">
        <v>66</v>
      </c>
      <c r="N14" s="60" t="s">
        <v>67</v>
      </c>
      <c r="O14" s="61" t="s">
        <v>68</v>
      </c>
      <c r="P14" s="62" t="s">
        <v>69</v>
      </c>
    </row>
    <row r="15" spans="1:16" ht="12.75" customHeight="1" thickBot="1">
      <c r="A15" s="8" t="str">
        <f t="shared" si="0"/>
        <v>IBVS 5699 </v>
      </c>
      <c r="B15" s="3" t="str">
        <f t="shared" si="1"/>
        <v>I</v>
      </c>
      <c r="C15" s="8">
        <f t="shared" si="2"/>
        <v>50690.694799999997</v>
      </c>
      <c r="D15" s="9" t="str">
        <f t="shared" si="3"/>
        <v>vis</v>
      </c>
      <c r="E15" s="58">
        <f>VLOOKUP(C15,Active!C$21:E$968,3,FALSE)</f>
        <v>0</v>
      </c>
      <c r="F15" s="3" t="s">
        <v>61</v>
      </c>
      <c r="G15" s="9" t="str">
        <f t="shared" si="4"/>
        <v>50690.6948</v>
      </c>
      <c r="H15" s="8">
        <f t="shared" si="5"/>
        <v>-1196</v>
      </c>
      <c r="I15" s="59" t="s">
        <v>78</v>
      </c>
      <c r="J15" s="60" t="s">
        <v>79</v>
      </c>
      <c r="K15" s="59">
        <v>-1196</v>
      </c>
      <c r="L15" s="59" t="s">
        <v>80</v>
      </c>
      <c r="M15" s="60" t="s">
        <v>81</v>
      </c>
      <c r="N15" s="60" t="s">
        <v>61</v>
      </c>
      <c r="O15" s="61" t="s">
        <v>82</v>
      </c>
      <c r="P15" s="62" t="s">
        <v>83</v>
      </c>
    </row>
    <row r="16" spans="1:16" ht="12.75" customHeight="1" thickBot="1">
      <c r="A16" s="8" t="str">
        <f t="shared" si="0"/>
        <v>IBVS 5699 </v>
      </c>
      <c r="B16" s="3" t="str">
        <f t="shared" si="1"/>
        <v>II</v>
      </c>
      <c r="C16" s="8">
        <f t="shared" si="2"/>
        <v>52169.777199999997</v>
      </c>
      <c r="D16" s="9" t="str">
        <f t="shared" si="3"/>
        <v>vis</v>
      </c>
      <c r="E16" s="58">
        <f>VLOOKUP(C16,Active!C$21:E$968,3,FALSE)</f>
        <v>977.50030681489875</v>
      </c>
      <c r="F16" s="3" t="s">
        <v>61</v>
      </c>
      <c r="G16" s="9" t="str">
        <f t="shared" si="4"/>
        <v>52169.7772</v>
      </c>
      <c r="H16" s="8">
        <f t="shared" si="5"/>
        <v>-218.5</v>
      </c>
      <c r="I16" s="59" t="s">
        <v>84</v>
      </c>
      <c r="J16" s="60" t="s">
        <v>85</v>
      </c>
      <c r="K16" s="59">
        <v>-218.5</v>
      </c>
      <c r="L16" s="59" t="s">
        <v>86</v>
      </c>
      <c r="M16" s="60" t="s">
        <v>81</v>
      </c>
      <c r="N16" s="60" t="s">
        <v>61</v>
      </c>
      <c r="O16" s="61" t="s">
        <v>82</v>
      </c>
      <c r="P16" s="62" t="s">
        <v>83</v>
      </c>
    </row>
    <row r="17" spans="1:16" ht="12.75" customHeight="1" thickBot="1">
      <c r="A17" s="8" t="str">
        <f t="shared" si="0"/>
        <v>IBVS 5699 </v>
      </c>
      <c r="B17" s="3" t="str">
        <f t="shared" si="1"/>
        <v>I</v>
      </c>
      <c r="C17" s="8">
        <f t="shared" si="2"/>
        <v>52185.6636</v>
      </c>
      <c r="D17" s="9" t="str">
        <f t="shared" si="3"/>
        <v>vis</v>
      </c>
      <c r="E17" s="58">
        <f>VLOOKUP(C17,Active!C$21:E$968,3,FALSE)</f>
        <v>987.99935735744259</v>
      </c>
      <c r="F17" s="3" t="s">
        <v>61</v>
      </c>
      <c r="G17" s="9" t="str">
        <f t="shared" si="4"/>
        <v>52185.6636</v>
      </c>
      <c r="H17" s="8">
        <f t="shared" si="5"/>
        <v>-208</v>
      </c>
      <c r="I17" s="59" t="s">
        <v>87</v>
      </c>
      <c r="J17" s="60" t="s">
        <v>88</v>
      </c>
      <c r="K17" s="59">
        <v>-208</v>
      </c>
      <c r="L17" s="59" t="s">
        <v>89</v>
      </c>
      <c r="M17" s="60" t="s">
        <v>81</v>
      </c>
      <c r="N17" s="60" t="s">
        <v>90</v>
      </c>
      <c r="O17" s="61" t="s">
        <v>82</v>
      </c>
      <c r="P17" s="62" t="s">
        <v>83</v>
      </c>
    </row>
    <row r="18" spans="1:16" ht="12.75" customHeight="1" thickBot="1">
      <c r="A18" s="8" t="str">
        <f t="shared" si="0"/>
        <v>IBVS 5714 </v>
      </c>
      <c r="B18" s="3" t="str">
        <f t="shared" si="1"/>
        <v>I</v>
      </c>
      <c r="C18" s="8">
        <f t="shared" si="2"/>
        <v>52895.322</v>
      </c>
      <c r="D18" s="9" t="str">
        <f t="shared" si="3"/>
        <v>vis</v>
      </c>
      <c r="E18" s="58">
        <f>VLOOKUP(C18,Active!C$21:E$968,3,FALSE)</f>
        <v>1457.0004784131531</v>
      </c>
      <c r="F18" s="3" t="s">
        <v>61</v>
      </c>
      <c r="G18" s="9" t="str">
        <f t="shared" si="4"/>
        <v>52895.3220</v>
      </c>
      <c r="H18" s="8">
        <f t="shared" si="5"/>
        <v>261</v>
      </c>
      <c r="I18" s="59" t="s">
        <v>91</v>
      </c>
      <c r="J18" s="60" t="s">
        <v>92</v>
      </c>
      <c r="K18" s="59">
        <v>261</v>
      </c>
      <c r="L18" s="59" t="s">
        <v>93</v>
      </c>
      <c r="M18" s="60" t="s">
        <v>66</v>
      </c>
      <c r="N18" s="60" t="s">
        <v>61</v>
      </c>
      <c r="O18" s="61" t="s">
        <v>94</v>
      </c>
      <c r="P18" s="62" t="s">
        <v>95</v>
      </c>
    </row>
    <row r="19" spans="1:16" ht="12.75" customHeight="1" thickBot="1">
      <c r="A19" s="8" t="str">
        <f t="shared" si="0"/>
        <v>IBVS 5714 </v>
      </c>
      <c r="B19" s="3" t="str">
        <f t="shared" si="1"/>
        <v>I</v>
      </c>
      <c r="C19" s="8">
        <f t="shared" si="2"/>
        <v>52901.374000000003</v>
      </c>
      <c r="D19" s="9" t="str">
        <f t="shared" si="3"/>
        <v>vis</v>
      </c>
      <c r="E19" s="58">
        <f>VLOOKUP(C19,Active!C$21:E$968,3,FALSE)</f>
        <v>1461.0001418915685</v>
      </c>
      <c r="F19" s="3" t="s">
        <v>61</v>
      </c>
      <c r="G19" s="9" t="str">
        <f t="shared" si="4"/>
        <v>52901.3740</v>
      </c>
      <c r="H19" s="8">
        <f t="shared" si="5"/>
        <v>265</v>
      </c>
      <c r="I19" s="59" t="s">
        <v>96</v>
      </c>
      <c r="J19" s="60" t="s">
        <v>97</v>
      </c>
      <c r="K19" s="59">
        <v>265</v>
      </c>
      <c r="L19" s="59" t="s">
        <v>98</v>
      </c>
      <c r="M19" s="60" t="s">
        <v>66</v>
      </c>
      <c r="N19" s="60" t="s">
        <v>61</v>
      </c>
      <c r="O19" s="61" t="s">
        <v>94</v>
      </c>
      <c r="P19" s="62" t="s">
        <v>95</v>
      </c>
    </row>
    <row r="20" spans="1:16" ht="12.75" customHeight="1" thickBot="1">
      <c r="A20" s="8" t="str">
        <f t="shared" si="0"/>
        <v>IBVS 5699 </v>
      </c>
      <c r="B20" s="3" t="str">
        <f t="shared" si="1"/>
        <v>I</v>
      </c>
      <c r="C20" s="8">
        <f t="shared" si="2"/>
        <v>52928.610699999997</v>
      </c>
      <c r="D20" s="9" t="str">
        <f t="shared" si="3"/>
        <v>vis</v>
      </c>
      <c r="E20" s="58">
        <f>VLOOKUP(C20,Active!C$21:E$968,3,FALSE)</f>
        <v>1479.0004119283287</v>
      </c>
      <c r="F20" s="3" t="s">
        <v>61</v>
      </c>
      <c r="G20" s="9" t="str">
        <f t="shared" si="4"/>
        <v>52928.6107</v>
      </c>
      <c r="H20" s="8">
        <f t="shared" si="5"/>
        <v>283</v>
      </c>
      <c r="I20" s="59" t="s">
        <v>99</v>
      </c>
      <c r="J20" s="60" t="s">
        <v>100</v>
      </c>
      <c r="K20" s="59">
        <v>283</v>
      </c>
      <c r="L20" s="59" t="s">
        <v>93</v>
      </c>
      <c r="M20" s="60" t="s">
        <v>81</v>
      </c>
      <c r="N20" s="60" t="s">
        <v>61</v>
      </c>
      <c r="O20" s="61" t="s">
        <v>82</v>
      </c>
      <c r="P20" s="62" t="s">
        <v>83</v>
      </c>
    </row>
    <row r="21" spans="1:16" ht="12.75" customHeight="1" thickBot="1">
      <c r="A21" s="8" t="str">
        <f t="shared" si="0"/>
        <v>IBVS 5699 </v>
      </c>
      <c r="B21" s="3" t="str">
        <f t="shared" si="1"/>
        <v>II</v>
      </c>
      <c r="C21" s="8">
        <f t="shared" si="2"/>
        <v>53207.780200000001</v>
      </c>
      <c r="D21" s="9" t="str">
        <f t="shared" si="3"/>
        <v>vis</v>
      </c>
      <c r="E21" s="58">
        <f>VLOOKUP(C21,Active!C$21:E$968,3,FALSE)</f>
        <v>1663.4987684116225</v>
      </c>
      <c r="F21" s="3" t="s">
        <v>61</v>
      </c>
      <c r="G21" s="9" t="str">
        <f t="shared" si="4"/>
        <v>53207.7802</v>
      </c>
      <c r="H21" s="8">
        <f t="shared" si="5"/>
        <v>467.5</v>
      </c>
      <c r="I21" s="59" t="s">
        <v>101</v>
      </c>
      <c r="J21" s="60" t="s">
        <v>102</v>
      </c>
      <c r="K21" s="59">
        <v>467.5</v>
      </c>
      <c r="L21" s="59" t="s">
        <v>103</v>
      </c>
      <c r="M21" s="60" t="s">
        <v>81</v>
      </c>
      <c r="N21" s="60" t="s">
        <v>61</v>
      </c>
      <c r="O21" s="61" t="s">
        <v>82</v>
      </c>
      <c r="P21" s="62" t="s">
        <v>83</v>
      </c>
    </row>
    <row r="22" spans="1:16" ht="12.75" customHeight="1" thickBot="1">
      <c r="A22" s="8" t="str">
        <f t="shared" si="0"/>
        <v>IBVS 5699 </v>
      </c>
      <c r="B22" s="3" t="str">
        <f t="shared" si="1"/>
        <v>I</v>
      </c>
      <c r="C22" s="8">
        <f t="shared" si="2"/>
        <v>53226.696600000003</v>
      </c>
      <c r="D22" s="9" t="str">
        <f t="shared" si="3"/>
        <v>vis</v>
      </c>
      <c r="E22" s="58">
        <f>VLOOKUP(C22,Active!C$21:E$968,3,FALSE)</f>
        <v>1676.0002942250831</v>
      </c>
      <c r="F22" s="3" t="s">
        <v>61</v>
      </c>
      <c r="G22" s="9" t="str">
        <f t="shared" si="4"/>
        <v>53226.6966</v>
      </c>
      <c r="H22" s="8">
        <f t="shared" si="5"/>
        <v>480</v>
      </c>
      <c r="I22" s="59" t="s">
        <v>104</v>
      </c>
      <c r="J22" s="60" t="s">
        <v>105</v>
      </c>
      <c r="K22" s="59">
        <v>480</v>
      </c>
      <c r="L22" s="59" t="s">
        <v>106</v>
      </c>
      <c r="M22" s="60" t="s">
        <v>81</v>
      </c>
      <c r="N22" s="60" t="s">
        <v>61</v>
      </c>
      <c r="O22" s="61" t="s">
        <v>82</v>
      </c>
      <c r="P22" s="62" t="s">
        <v>83</v>
      </c>
    </row>
    <row r="23" spans="1:16" ht="12.75" customHeight="1" thickBot="1">
      <c r="A23" s="8" t="str">
        <f t="shared" si="0"/>
        <v>IBVS 5714 </v>
      </c>
      <c r="B23" s="3" t="str">
        <f t="shared" si="1"/>
        <v>I</v>
      </c>
      <c r="C23" s="8">
        <f t="shared" si="2"/>
        <v>53246.366300000002</v>
      </c>
      <c r="D23" s="9" t="str">
        <f t="shared" si="3"/>
        <v>vis</v>
      </c>
      <c r="E23" s="58">
        <f>VLOOKUP(C23,Active!C$21:E$968,3,FALSE)</f>
        <v>1688.9996631479744</v>
      </c>
      <c r="F23" s="3" t="s">
        <v>61</v>
      </c>
      <c r="G23" s="9" t="str">
        <f t="shared" si="4"/>
        <v>53246.3663</v>
      </c>
      <c r="H23" s="8">
        <f t="shared" si="5"/>
        <v>493</v>
      </c>
      <c r="I23" s="59" t="s">
        <v>107</v>
      </c>
      <c r="J23" s="60" t="s">
        <v>108</v>
      </c>
      <c r="K23" s="59">
        <v>493</v>
      </c>
      <c r="L23" s="59" t="s">
        <v>109</v>
      </c>
      <c r="M23" s="60" t="s">
        <v>66</v>
      </c>
      <c r="N23" s="60" t="s">
        <v>110</v>
      </c>
      <c r="O23" s="61" t="s">
        <v>94</v>
      </c>
      <c r="P23" s="62" t="s">
        <v>95</v>
      </c>
    </row>
    <row r="24" spans="1:16" ht="12.75" customHeight="1" thickBot="1">
      <c r="A24" s="8" t="str">
        <f t="shared" si="0"/>
        <v>IBVS 5699 </v>
      </c>
      <c r="B24" s="3" t="str">
        <f t="shared" si="1"/>
        <v>I</v>
      </c>
      <c r="C24" s="8">
        <f t="shared" si="2"/>
        <v>53270.575700000001</v>
      </c>
      <c r="D24" s="9" t="str">
        <f t="shared" si="3"/>
        <v>vis</v>
      </c>
      <c r="E24" s="58">
        <f>VLOOKUP(C24,Active!C$21:E$968,3,FALSE)</f>
        <v>1704.9992422977259</v>
      </c>
      <c r="F24" s="3" t="s">
        <v>61</v>
      </c>
      <c r="G24" s="9" t="str">
        <f t="shared" si="4"/>
        <v>53270.5757</v>
      </c>
      <c r="H24" s="8">
        <f t="shared" si="5"/>
        <v>509</v>
      </c>
      <c r="I24" s="59" t="s">
        <v>111</v>
      </c>
      <c r="J24" s="60" t="s">
        <v>112</v>
      </c>
      <c r="K24" s="59">
        <v>509</v>
      </c>
      <c r="L24" s="59" t="s">
        <v>113</v>
      </c>
      <c r="M24" s="60" t="s">
        <v>81</v>
      </c>
      <c r="N24" s="60" t="s">
        <v>61</v>
      </c>
      <c r="O24" s="61" t="s">
        <v>82</v>
      </c>
      <c r="P24" s="62" t="s">
        <v>83</v>
      </c>
    </row>
    <row r="25" spans="1:16" ht="12.75" customHeight="1" thickBot="1">
      <c r="A25" s="8" t="str">
        <f t="shared" si="0"/>
        <v>OEJV 0094 </v>
      </c>
      <c r="B25" s="3" t="str">
        <f t="shared" si="1"/>
        <v>I</v>
      </c>
      <c r="C25" s="8">
        <f t="shared" si="2"/>
        <v>54443.255799999999</v>
      </c>
      <c r="D25" s="9" t="str">
        <f t="shared" si="3"/>
        <v>vis</v>
      </c>
      <c r="E25" s="58" t="e">
        <f>VLOOKUP(C25,Active!C$21:E$968,3,FALSE)</f>
        <v>#N/A</v>
      </c>
      <c r="F25" s="3" t="s">
        <v>61</v>
      </c>
      <c r="G25" s="9" t="str">
        <f t="shared" si="4"/>
        <v>54443.2558</v>
      </c>
      <c r="H25" s="8">
        <f t="shared" si="5"/>
        <v>1284</v>
      </c>
      <c r="I25" s="59" t="s">
        <v>114</v>
      </c>
      <c r="J25" s="60" t="s">
        <v>115</v>
      </c>
      <c r="K25" s="59">
        <v>1284</v>
      </c>
      <c r="L25" s="59" t="s">
        <v>116</v>
      </c>
      <c r="M25" s="60" t="s">
        <v>81</v>
      </c>
      <c r="N25" s="60" t="s">
        <v>117</v>
      </c>
      <c r="O25" s="61" t="s">
        <v>118</v>
      </c>
      <c r="P25" s="62" t="s">
        <v>119</v>
      </c>
    </row>
    <row r="26" spans="1:16" ht="12.75" customHeight="1" thickBot="1">
      <c r="A26" s="8" t="str">
        <f t="shared" si="0"/>
        <v>OEJV 0094 </v>
      </c>
      <c r="B26" s="3" t="str">
        <f t="shared" si="1"/>
        <v>I</v>
      </c>
      <c r="C26" s="8">
        <f t="shared" si="2"/>
        <v>54443.256399999998</v>
      </c>
      <c r="D26" s="9" t="str">
        <f t="shared" si="3"/>
        <v>vis</v>
      </c>
      <c r="E26" s="58" t="e">
        <f>VLOOKUP(C26,Active!C$21:E$968,3,FALSE)</f>
        <v>#N/A</v>
      </c>
      <c r="F26" s="3" t="s">
        <v>61</v>
      </c>
      <c r="G26" s="9" t="str">
        <f t="shared" si="4"/>
        <v>54443.2564</v>
      </c>
      <c r="H26" s="8">
        <f t="shared" si="5"/>
        <v>1284</v>
      </c>
      <c r="I26" s="59" t="s">
        <v>120</v>
      </c>
      <c r="J26" s="60" t="s">
        <v>121</v>
      </c>
      <c r="K26" s="59">
        <v>1284</v>
      </c>
      <c r="L26" s="59" t="s">
        <v>122</v>
      </c>
      <c r="M26" s="60" t="s">
        <v>81</v>
      </c>
      <c r="N26" s="60" t="s">
        <v>61</v>
      </c>
      <c r="O26" s="61" t="s">
        <v>118</v>
      </c>
      <c r="P26" s="62" t="s">
        <v>119</v>
      </c>
    </row>
    <row r="27" spans="1:16" ht="12.75" customHeight="1" thickBot="1">
      <c r="A27" s="8" t="str">
        <f t="shared" si="0"/>
        <v>OEJV 0094 </v>
      </c>
      <c r="B27" s="3" t="str">
        <f t="shared" si="1"/>
        <v>I</v>
      </c>
      <c r="C27" s="8">
        <f t="shared" si="2"/>
        <v>54691.406999999999</v>
      </c>
      <c r="D27" s="9" t="str">
        <f t="shared" si="3"/>
        <v>vis</v>
      </c>
      <c r="E27" s="58" t="e">
        <f>VLOOKUP(C27,Active!C$21:E$968,3,FALSE)</f>
        <v>#N/A</v>
      </c>
      <c r="F27" s="3" t="s">
        <v>61</v>
      </c>
      <c r="G27" s="9" t="str">
        <f t="shared" si="4"/>
        <v>54691.4070</v>
      </c>
      <c r="H27" s="8">
        <f t="shared" si="5"/>
        <v>1448</v>
      </c>
      <c r="I27" s="59" t="s">
        <v>123</v>
      </c>
      <c r="J27" s="60" t="s">
        <v>124</v>
      </c>
      <c r="K27" s="59">
        <v>1448</v>
      </c>
      <c r="L27" s="59" t="s">
        <v>125</v>
      </c>
      <c r="M27" s="60" t="s">
        <v>81</v>
      </c>
      <c r="N27" s="60" t="s">
        <v>27</v>
      </c>
      <c r="O27" s="61" t="s">
        <v>118</v>
      </c>
      <c r="P27" s="62" t="s">
        <v>119</v>
      </c>
    </row>
    <row r="28" spans="1:16" ht="12.75" customHeight="1" thickBot="1">
      <c r="A28" s="8" t="str">
        <f t="shared" si="0"/>
        <v>OEJV 0094 </v>
      </c>
      <c r="B28" s="3" t="str">
        <f t="shared" si="1"/>
        <v>I</v>
      </c>
      <c r="C28" s="8">
        <f t="shared" si="2"/>
        <v>54691.408900000002</v>
      </c>
      <c r="D28" s="9" t="str">
        <f t="shared" si="3"/>
        <v>vis</v>
      </c>
      <c r="E28" s="58" t="e">
        <f>VLOOKUP(C28,Active!C$21:E$968,3,FALSE)</f>
        <v>#N/A</v>
      </c>
      <c r="F28" s="3" t="s">
        <v>61</v>
      </c>
      <c r="G28" s="9" t="str">
        <f t="shared" si="4"/>
        <v>54691.4089</v>
      </c>
      <c r="H28" s="8">
        <f t="shared" si="5"/>
        <v>1448</v>
      </c>
      <c r="I28" s="59" t="s">
        <v>126</v>
      </c>
      <c r="J28" s="60" t="s">
        <v>127</v>
      </c>
      <c r="K28" s="59">
        <v>1448</v>
      </c>
      <c r="L28" s="59" t="s">
        <v>128</v>
      </c>
      <c r="M28" s="60" t="s">
        <v>81</v>
      </c>
      <c r="N28" s="60" t="s">
        <v>117</v>
      </c>
      <c r="O28" s="61" t="s">
        <v>118</v>
      </c>
      <c r="P28" s="62" t="s">
        <v>119</v>
      </c>
    </row>
    <row r="29" spans="1:16" ht="12.75" customHeight="1" thickBot="1">
      <c r="A29" s="8" t="str">
        <f t="shared" si="0"/>
        <v>OEJV 0094 </v>
      </c>
      <c r="B29" s="3" t="str">
        <f t="shared" si="1"/>
        <v>I</v>
      </c>
      <c r="C29" s="8">
        <f t="shared" si="2"/>
        <v>54691.409699999997</v>
      </c>
      <c r="D29" s="9" t="str">
        <f t="shared" si="3"/>
        <v>vis</v>
      </c>
      <c r="E29" s="58" t="e">
        <f>VLOOKUP(C29,Active!C$21:E$968,3,FALSE)</f>
        <v>#N/A</v>
      </c>
      <c r="F29" s="3" t="s">
        <v>61</v>
      </c>
      <c r="G29" s="9" t="str">
        <f t="shared" si="4"/>
        <v>54691.4097</v>
      </c>
      <c r="H29" s="8">
        <f t="shared" si="5"/>
        <v>1448</v>
      </c>
      <c r="I29" s="59" t="s">
        <v>129</v>
      </c>
      <c r="J29" s="60" t="s">
        <v>130</v>
      </c>
      <c r="K29" s="59">
        <v>1448</v>
      </c>
      <c r="L29" s="59" t="s">
        <v>131</v>
      </c>
      <c r="M29" s="60" t="s">
        <v>81</v>
      </c>
      <c r="N29" s="60" t="s">
        <v>61</v>
      </c>
      <c r="O29" s="61" t="s">
        <v>118</v>
      </c>
      <c r="P29" s="62" t="s">
        <v>119</v>
      </c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</sheetData>
  <phoneticPr fontId="7" type="noConversion"/>
  <hyperlinks>
    <hyperlink ref="P11" r:id="rId1" display="http://www.konkoly.hu/cgi-bin/IBVS?2663"/>
    <hyperlink ref="P12" r:id="rId2" display="http://www.konkoly.hu/cgi-bin/IBVS?2663"/>
    <hyperlink ref="P13" r:id="rId3" display="http://www.konkoly.hu/cgi-bin/IBVS?2663"/>
    <hyperlink ref="P14" r:id="rId4" display="http://www.konkoly.hu/cgi-bin/IBVS?2663"/>
    <hyperlink ref="P15" r:id="rId5" display="http://www.konkoly.hu/cgi-bin/IBVS?5699"/>
    <hyperlink ref="P16" r:id="rId6" display="http://www.konkoly.hu/cgi-bin/IBVS?5699"/>
    <hyperlink ref="P17" r:id="rId7" display="http://www.konkoly.hu/cgi-bin/IBVS?5699"/>
    <hyperlink ref="P18" r:id="rId8" display="http://www.konkoly.hu/cgi-bin/IBVS?5714"/>
    <hyperlink ref="P19" r:id="rId9" display="http://www.konkoly.hu/cgi-bin/IBVS?5714"/>
    <hyperlink ref="P20" r:id="rId10" display="http://www.konkoly.hu/cgi-bin/IBVS?5699"/>
    <hyperlink ref="P21" r:id="rId11" display="http://www.konkoly.hu/cgi-bin/IBVS?5699"/>
    <hyperlink ref="P22" r:id="rId12" display="http://www.konkoly.hu/cgi-bin/IBVS?5699"/>
    <hyperlink ref="P23" r:id="rId13" display="http://www.konkoly.hu/cgi-bin/IBVS?5714"/>
    <hyperlink ref="P24" r:id="rId14" display="http://www.konkoly.hu/cgi-bin/IBVS?5699"/>
    <hyperlink ref="P25" r:id="rId15" display="http://var.astro.cz/oejv/issues/oejv0094.pdf"/>
    <hyperlink ref="P26" r:id="rId16" display="http://var.astro.cz/oejv/issues/oejv0094.pdf"/>
    <hyperlink ref="P27" r:id="rId17" display="http://var.astro.cz/oejv/issues/oejv0094.pdf"/>
    <hyperlink ref="P28" r:id="rId18" display="http://var.astro.cz/oejv/issues/oejv0094.pdf"/>
    <hyperlink ref="P29" r:id="rId19" display="http://var.astro.cz/oejv/issues/oejv0094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2023-01-13T04:59:45Z</dcterms:modified>
</cp:coreProperties>
</file>