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A71B2B-384C-4219-80CF-9DE6FF100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3" i="1" l="1"/>
  <c r="F103" i="1" s="1"/>
  <c r="G103" i="1" s="1"/>
  <c r="K103" i="1" s="1"/>
  <c r="Q103" i="1"/>
  <c r="E104" i="1"/>
  <c r="F104" i="1" s="1"/>
  <c r="G104" i="1" s="1"/>
  <c r="K104" i="1" s="1"/>
  <c r="Q104" i="1"/>
  <c r="E101" i="1"/>
  <c r="F101" i="1" s="1"/>
  <c r="G101" i="1" s="1"/>
  <c r="S101" i="1" s="1"/>
  <c r="Q101" i="1"/>
  <c r="E99" i="1"/>
  <c r="F99" i="1" s="1"/>
  <c r="G99" i="1" s="1"/>
  <c r="K99" i="1" s="1"/>
  <c r="Q99" i="1"/>
  <c r="E102" i="1"/>
  <c r="F102" i="1" s="1"/>
  <c r="G102" i="1" s="1"/>
  <c r="K102" i="1" s="1"/>
  <c r="Q102" i="1"/>
  <c r="E100" i="1"/>
  <c r="F100" i="1" s="1"/>
  <c r="G100" i="1" s="1"/>
  <c r="K100" i="1" s="1"/>
  <c r="Q100" i="1"/>
  <c r="E97" i="1"/>
  <c r="F97" i="1" s="1"/>
  <c r="G97" i="1" s="1"/>
  <c r="K97" i="1" s="1"/>
  <c r="E94" i="1"/>
  <c r="F94" i="1" s="1"/>
  <c r="G94" i="1" s="1"/>
  <c r="K94" i="1" s="1"/>
  <c r="E95" i="1"/>
  <c r="F95" i="1" s="1"/>
  <c r="G95" i="1" s="1"/>
  <c r="K95" i="1" s="1"/>
  <c r="E96" i="1"/>
  <c r="F96" i="1" s="1"/>
  <c r="G96" i="1" s="1"/>
  <c r="K96" i="1" s="1"/>
  <c r="E98" i="1"/>
  <c r="F98" i="1" s="1"/>
  <c r="G98" i="1" s="1"/>
  <c r="K98" i="1" s="1"/>
  <c r="Q97" i="1"/>
  <c r="Q98" i="1"/>
  <c r="Q96" i="1"/>
  <c r="E90" i="1"/>
  <c r="F90" i="1" s="1"/>
  <c r="G90" i="1" s="1"/>
  <c r="K90" i="1" s="1"/>
  <c r="E92" i="1"/>
  <c r="F92" i="1" s="1"/>
  <c r="G92" i="1" s="1"/>
  <c r="K92" i="1" s="1"/>
  <c r="E93" i="1"/>
  <c r="F93" i="1" s="1"/>
  <c r="G93" i="1" s="1"/>
  <c r="K93" i="1" s="1"/>
  <c r="E50" i="1"/>
  <c r="F50" i="1" s="1"/>
  <c r="G50" i="1" s="1"/>
  <c r="E51" i="1"/>
  <c r="F51" i="1" s="1"/>
  <c r="G51" i="1" s="1"/>
  <c r="K51" i="1" s="1"/>
  <c r="E52" i="1"/>
  <c r="F52" i="1" s="1"/>
  <c r="G52" i="1" s="1"/>
  <c r="K52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J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E40" i="2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J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/>
  <c r="G89" i="1" s="1"/>
  <c r="K89" i="1" s="1"/>
  <c r="E91" i="1"/>
  <c r="F91" i="1" s="1"/>
  <c r="G91" i="1" s="1"/>
  <c r="J91" i="1" s="1"/>
  <c r="D9" i="1"/>
  <c r="C9" i="1"/>
  <c r="Q95" i="1"/>
  <c r="Q94" i="1"/>
  <c r="Q93" i="1"/>
  <c r="Q92" i="1"/>
  <c r="Q90" i="1"/>
  <c r="E53" i="1"/>
  <c r="F53" i="1" s="1"/>
  <c r="G53" i="1" s="1"/>
  <c r="K53" i="1" s="1"/>
  <c r="E59" i="1"/>
  <c r="F59" i="1" s="1"/>
  <c r="G59" i="1" s="1"/>
  <c r="K59" i="1" s="1"/>
  <c r="E54" i="1"/>
  <c r="F54" i="1" s="1"/>
  <c r="G54" i="1" s="1"/>
  <c r="K54" i="1" s="1"/>
  <c r="E58" i="1"/>
  <c r="F58" i="1" s="1"/>
  <c r="G58" i="1" s="1"/>
  <c r="K58" i="1" s="1"/>
  <c r="E60" i="1"/>
  <c r="F60" i="1" s="1"/>
  <c r="G60" i="1" s="1"/>
  <c r="K60" i="1" s="1"/>
  <c r="E49" i="1"/>
  <c r="F49" i="1" s="1"/>
  <c r="G49" i="1" s="1"/>
  <c r="K49" i="1" s="1"/>
  <c r="E41" i="1"/>
  <c r="F41" i="1"/>
  <c r="G41" i="1" s="1"/>
  <c r="I41" i="1" s="1"/>
  <c r="E21" i="1"/>
  <c r="F21" i="1" s="1"/>
  <c r="G21" i="1" s="1"/>
  <c r="J21" i="1" s="1"/>
  <c r="E22" i="1"/>
  <c r="F22" i="1" s="1"/>
  <c r="G22" i="1" s="1"/>
  <c r="J22" i="1" s="1"/>
  <c r="E55" i="1"/>
  <c r="F55" i="1" s="1"/>
  <c r="G55" i="1" s="1"/>
  <c r="J55" i="1" s="1"/>
  <c r="E56" i="1"/>
  <c r="F56" i="1" s="1"/>
  <c r="G56" i="1" s="1"/>
  <c r="J56" i="1" s="1"/>
  <c r="E57" i="1"/>
  <c r="E30" i="2" s="1"/>
  <c r="F57" i="1"/>
  <c r="G57" i="1" s="1"/>
  <c r="J57" i="1" s="1"/>
  <c r="E63" i="1"/>
  <c r="F63" i="1" s="1"/>
  <c r="G63" i="1" s="1"/>
  <c r="K63" i="1" s="1"/>
  <c r="E23" i="1"/>
  <c r="F23" i="1" s="1"/>
  <c r="G23" i="1" s="1"/>
  <c r="J23" i="1" s="1"/>
  <c r="E61" i="1"/>
  <c r="F61" i="1" s="1"/>
  <c r="G61" i="1" s="1"/>
  <c r="E62" i="1"/>
  <c r="F62" i="1" s="1"/>
  <c r="G62" i="1" s="1"/>
  <c r="K62" i="1" s="1"/>
  <c r="Q89" i="1"/>
  <c r="Q21" i="1"/>
  <c r="Q22" i="1"/>
  <c r="Q41" i="1"/>
  <c r="Q59" i="1"/>
  <c r="Q71" i="1"/>
  <c r="Q73" i="1"/>
  <c r="Q77" i="1"/>
  <c r="Q78" i="1"/>
  <c r="Q82" i="1"/>
  <c r="Q84" i="1"/>
  <c r="G50" i="2"/>
  <c r="C50" i="2" s="1"/>
  <c r="G49" i="2"/>
  <c r="C49" i="2"/>
  <c r="G48" i="2"/>
  <c r="C48" i="2"/>
  <c r="G47" i="2"/>
  <c r="C47" i="2" s="1"/>
  <c r="G46" i="2"/>
  <c r="C46" i="2" s="1"/>
  <c r="G63" i="2"/>
  <c r="C63" i="2" s="1"/>
  <c r="G45" i="2"/>
  <c r="C45" i="2"/>
  <c r="E45" i="2"/>
  <c r="G62" i="2"/>
  <c r="C62" i="2"/>
  <c r="E62" i="2" s="1"/>
  <c r="G44" i="2"/>
  <c r="C44" i="2" s="1"/>
  <c r="G43" i="2"/>
  <c r="C43" i="2"/>
  <c r="E43" i="2" s="1"/>
  <c r="G42" i="2"/>
  <c r="C42" i="2" s="1"/>
  <c r="G61" i="2"/>
  <c r="C61" i="2" s="1"/>
  <c r="E61" i="2" s="1"/>
  <c r="G60" i="2"/>
  <c r="C60" i="2" s="1"/>
  <c r="G41" i="2"/>
  <c r="C41" i="2" s="1"/>
  <c r="E41" i="2" s="1"/>
  <c r="G40" i="2"/>
  <c r="C40" i="2"/>
  <c r="G39" i="2"/>
  <c r="C39" i="2"/>
  <c r="E39" i="2"/>
  <c r="G59" i="2"/>
  <c r="C59" i="2" s="1"/>
  <c r="E59" i="2" s="1"/>
  <c r="G58" i="2"/>
  <c r="C58" i="2"/>
  <c r="G38" i="2"/>
  <c r="C38" i="2" s="1"/>
  <c r="G37" i="2"/>
  <c r="C37" i="2" s="1"/>
  <c r="E37" i="2" s="1"/>
  <c r="G36" i="2"/>
  <c r="C36" i="2" s="1"/>
  <c r="G35" i="2"/>
  <c r="C35" i="2" s="1"/>
  <c r="G57" i="2"/>
  <c r="C57" i="2"/>
  <c r="E57" i="2"/>
  <c r="G34" i="2"/>
  <c r="C34" i="2"/>
  <c r="G56" i="2"/>
  <c r="C56" i="2" s="1"/>
  <c r="E56" i="2" s="1"/>
  <c r="G55" i="2"/>
  <c r="C55" i="2"/>
  <c r="E55" i="2" s="1"/>
  <c r="G33" i="2"/>
  <c r="C33" i="2"/>
  <c r="G32" i="2"/>
  <c r="C32" i="2" s="1"/>
  <c r="E32" i="2" s="1"/>
  <c r="G31" i="2"/>
  <c r="C31" i="2" s="1"/>
  <c r="E31" i="2"/>
  <c r="G54" i="2"/>
  <c r="C54" i="2" s="1"/>
  <c r="E54" i="2" s="1"/>
  <c r="G30" i="2"/>
  <c r="C30" i="2"/>
  <c r="G29" i="2"/>
  <c r="C29" i="2"/>
  <c r="E29" i="2" s="1"/>
  <c r="G28" i="2"/>
  <c r="C28" i="2" s="1"/>
  <c r="E28" i="2" s="1"/>
  <c r="G27" i="2"/>
  <c r="C27" i="2"/>
  <c r="G26" i="2"/>
  <c r="C26" i="2" s="1"/>
  <c r="G25" i="2"/>
  <c r="C25" i="2" s="1"/>
  <c r="E25" i="2" s="1"/>
  <c r="G24" i="2"/>
  <c r="C24" i="2" s="1"/>
  <c r="E24" i="2" s="1"/>
  <c r="G23" i="2"/>
  <c r="C23" i="2" s="1"/>
  <c r="G22" i="2"/>
  <c r="C22" i="2"/>
  <c r="E48" i="1"/>
  <c r="E22" i="2" s="1"/>
  <c r="G21" i="2"/>
  <c r="C21" i="2" s="1"/>
  <c r="E47" i="1"/>
  <c r="G20" i="2"/>
  <c r="C20" i="2"/>
  <c r="E46" i="1"/>
  <c r="E20" i="2" s="1"/>
  <c r="G19" i="2"/>
  <c r="C19" i="2"/>
  <c r="E45" i="1"/>
  <c r="G18" i="2"/>
  <c r="C18" i="2"/>
  <c r="E18" i="2"/>
  <c r="E44" i="1"/>
  <c r="F44" i="1" s="1"/>
  <c r="G44" i="1" s="1"/>
  <c r="I44" i="1" s="1"/>
  <c r="G17" i="2"/>
  <c r="C17" i="2" s="1"/>
  <c r="E43" i="1"/>
  <c r="F43" i="1" s="1"/>
  <c r="G43" i="1" s="1"/>
  <c r="I43" i="1" s="1"/>
  <c r="G53" i="2"/>
  <c r="C53" i="2"/>
  <c r="E53" i="2"/>
  <c r="G16" i="2"/>
  <c r="C16" i="2"/>
  <c r="E40" i="1"/>
  <c r="E16" i="2" s="1"/>
  <c r="G15" i="2"/>
  <c r="C15" i="2" s="1"/>
  <c r="E39" i="1"/>
  <c r="F39" i="1" s="1"/>
  <c r="G39" i="1" s="1"/>
  <c r="I39" i="1" s="1"/>
  <c r="G14" i="2"/>
  <c r="C14" i="2"/>
  <c r="E38" i="1"/>
  <c r="F38" i="1" s="1"/>
  <c r="G38" i="1" s="1"/>
  <c r="I38" i="1" s="1"/>
  <c r="G13" i="2"/>
  <c r="C13" i="2" s="1"/>
  <c r="E37" i="1"/>
  <c r="F37" i="1" s="1"/>
  <c r="G37" i="1" s="1"/>
  <c r="I37" i="1" s="1"/>
  <c r="G12" i="2"/>
  <c r="C12" i="2" s="1"/>
  <c r="E36" i="1"/>
  <c r="F36" i="1" s="1"/>
  <c r="G36" i="1" s="1"/>
  <c r="I36" i="1" s="1"/>
  <c r="G11" i="2"/>
  <c r="C11" i="2"/>
  <c r="E11" i="2" s="1"/>
  <c r="G52" i="2"/>
  <c r="C52" i="2"/>
  <c r="G51" i="2"/>
  <c r="C51" i="2" s="1"/>
  <c r="H50" i="2"/>
  <c r="B50" i="2" s="1"/>
  <c r="D50" i="2"/>
  <c r="A50" i="2"/>
  <c r="H49" i="2"/>
  <c r="B49" i="2"/>
  <c r="D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63" i="2"/>
  <c r="B63" i="2"/>
  <c r="D63" i="2"/>
  <c r="A63" i="2"/>
  <c r="H45" i="2"/>
  <c r="B45" i="2" s="1"/>
  <c r="D45" i="2"/>
  <c r="A45" i="2"/>
  <c r="H62" i="2"/>
  <c r="B62" i="2"/>
  <c r="D62" i="2"/>
  <c r="A62" i="2"/>
  <c r="H44" i="2"/>
  <c r="B44" i="2" s="1"/>
  <c r="D44" i="2"/>
  <c r="A44" i="2"/>
  <c r="H43" i="2"/>
  <c r="B43" i="2"/>
  <c r="D43" i="2"/>
  <c r="A43" i="2"/>
  <c r="H42" i="2"/>
  <c r="B42" i="2" s="1"/>
  <c r="D42" i="2"/>
  <c r="A42" i="2"/>
  <c r="H61" i="2"/>
  <c r="B61" i="2"/>
  <c r="D61" i="2"/>
  <c r="A61" i="2"/>
  <c r="H60" i="2"/>
  <c r="B60" i="2" s="1"/>
  <c r="D60" i="2"/>
  <c r="A60" i="2"/>
  <c r="H41" i="2"/>
  <c r="B41" i="2"/>
  <c r="D41" i="2"/>
  <c r="A41" i="2"/>
  <c r="H40" i="2"/>
  <c r="B40" i="2" s="1"/>
  <c r="D40" i="2"/>
  <c r="A40" i="2"/>
  <c r="H39" i="2"/>
  <c r="B39" i="2"/>
  <c r="D39" i="2"/>
  <c r="A39" i="2"/>
  <c r="H59" i="2"/>
  <c r="B59" i="2" s="1"/>
  <c r="D59" i="2"/>
  <c r="A59" i="2"/>
  <c r="H58" i="2"/>
  <c r="B58" i="2"/>
  <c r="D58" i="2"/>
  <c r="A58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57" i="2"/>
  <c r="B57" i="2" s="1"/>
  <c r="D57" i="2"/>
  <c r="A57" i="2"/>
  <c r="H34" i="2"/>
  <c r="B34" i="2"/>
  <c r="D34" i="2"/>
  <c r="A34" i="2"/>
  <c r="H56" i="2"/>
  <c r="B56" i="2" s="1"/>
  <c r="D56" i="2"/>
  <c r="A56" i="2"/>
  <c r="H55" i="2"/>
  <c r="B55" i="2"/>
  <c r="D55" i="2"/>
  <c r="A55" i="2"/>
  <c r="H33" i="2"/>
  <c r="B33" i="2" s="1"/>
  <c r="D33" i="2"/>
  <c r="A33" i="2"/>
  <c r="H32" i="2"/>
  <c r="B32" i="2"/>
  <c r="D32" i="2"/>
  <c r="A32" i="2"/>
  <c r="H31" i="2"/>
  <c r="B31" i="2" s="1"/>
  <c r="D31" i="2"/>
  <c r="A31" i="2"/>
  <c r="H54" i="2"/>
  <c r="B54" i="2"/>
  <c r="D54" i="2"/>
  <c r="A54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B27" i="2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B19" i="2"/>
  <c r="D19" i="2"/>
  <c r="A19" i="2"/>
  <c r="H18" i="2"/>
  <c r="B18" i="2" s="1"/>
  <c r="D18" i="2"/>
  <c r="A18" i="2"/>
  <c r="H17" i="2"/>
  <c r="B17" i="2"/>
  <c r="D17" i="2"/>
  <c r="A17" i="2"/>
  <c r="H53" i="2"/>
  <c r="B53" i="2" s="1"/>
  <c r="D53" i="2"/>
  <c r="A53" i="2"/>
  <c r="H16" i="2"/>
  <c r="B16" i="2"/>
  <c r="D16" i="2"/>
  <c r="A16" i="2"/>
  <c r="H15" i="2"/>
  <c r="B15" i="2" s="1"/>
  <c r="D15" i="2"/>
  <c r="A15" i="2"/>
  <c r="H14" i="2"/>
  <c r="B14" i="2"/>
  <c r="D14" i="2"/>
  <c r="A14" i="2"/>
  <c r="H13" i="2"/>
  <c r="B13" i="2" s="1"/>
  <c r="D13" i="2"/>
  <c r="A13" i="2"/>
  <c r="H12" i="2"/>
  <c r="B12" i="2"/>
  <c r="D12" i="2"/>
  <c r="A12" i="2"/>
  <c r="H11" i="2"/>
  <c r="B11" i="2" s="1"/>
  <c r="D11" i="2"/>
  <c r="A11" i="2"/>
  <c r="H52" i="2"/>
  <c r="B52" i="2"/>
  <c r="D52" i="2"/>
  <c r="A52" i="2"/>
  <c r="H51" i="2"/>
  <c r="B51" i="2" s="1"/>
  <c r="D51" i="2"/>
  <c r="A51" i="2"/>
  <c r="F40" i="1"/>
  <c r="G40" i="1" s="1"/>
  <c r="I40" i="1" s="1"/>
  <c r="E42" i="1"/>
  <c r="F42" i="1"/>
  <c r="G42" i="1" s="1"/>
  <c r="I42" i="1" s="1"/>
  <c r="F45" i="1"/>
  <c r="G45" i="1" s="1"/>
  <c r="I45" i="1" s="1"/>
  <c r="F46" i="1"/>
  <c r="G46" i="1" s="1"/>
  <c r="I46" i="1" s="1"/>
  <c r="F47" i="1"/>
  <c r="G47" i="1" s="1"/>
  <c r="I47" i="1"/>
  <c r="F48" i="1"/>
  <c r="G48" i="1" s="1"/>
  <c r="K48" i="1" s="1"/>
  <c r="Q55" i="1"/>
  <c r="Q56" i="1"/>
  <c r="Q57" i="1"/>
  <c r="Q54" i="1"/>
  <c r="Q58" i="1"/>
  <c r="Q60" i="1"/>
  <c r="Q85" i="1"/>
  <c r="Q91" i="1"/>
  <c r="Q83" i="1"/>
  <c r="Q81" i="1"/>
  <c r="Q86" i="1"/>
  <c r="Q87" i="1"/>
  <c r="Q88" i="1"/>
  <c r="Q79" i="1"/>
  <c r="Q49" i="1"/>
  <c r="Q67" i="1"/>
  <c r="Q80" i="1"/>
  <c r="Q76" i="1"/>
  <c r="Q75" i="1"/>
  <c r="Q74" i="1"/>
  <c r="Q70" i="1"/>
  <c r="E24" i="1"/>
  <c r="F24" i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F33" i="1" s="1"/>
  <c r="G33" i="1" s="1"/>
  <c r="I33" i="1" s="1"/>
  <c r="E34" i="1"/>
  <c r="F34" i="1"/>
  <c r="G34" i="1" s="1"/>
  <c r="I34" i="1" s="1"/>
  <c r="E35" i="1"/>
  <c r="F35" i="1" s="1"/>
  <c r="G35" i="1" s="1"/>
  <c r="I35" i="1" s="1"/>
  <c r="F16" i="1"/>
  <c r="F17" i="1" s="1"/>
  <c r="C17" i="1"/>
  <c r="Q72" i="1"/>
  <c r="Q66" i="1"/>
  <c r="Q64" i="1"/>
  <c r="Q63" i="1"/>
  <c r="Q69" i="1"/>
  <c r="Q68" i="1"/>
  <c r="Q65" i="1"/>
  <c r="Q62" i="1"/>
  <c r="Q61" i="1"/>
  <c r="J61" i="1"/>
  <c r="Q48" i="1"/>
  <c r="Q5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K50" i="1"/>
  <c r="Q50" i="1"/>
  <c r="Q51" i="1"/>
  <c r="Q53" i="1"/>
  <c r="E42" i="2" l="1"/>
  <c r="E46" i="2"/>
  <c r="E33" i="2"/>
  <c r="E13" i="2"/>
  <c r="E26" i="2"/>
  <c r="E52" i="2"/>
  <c r="E38" i="2"/>
  <c r="E47" i="2"/>
  <c r="E12" i="2"/>
  <c r="E17" i="2"/>
  <c r="E23" i="2"/>
  <c r="E48" i="2"/>
  <c r="F75" i="1"/>
  <c r="G75" i="1" s="1"/>
  <c r="E49" i="2"/>
  <c r="E36" i="2"/>
  <c r="E21" i="2"/>
  <c r="E34" i="2"/>
  <c r="E50" i="2"/>
  <c r="E58" i="2"/>
  <c r="E14" i="2"/>
  <c r="E60" i="2"/>
  <c r="E35" i="2"/>
  <c r="E19" i="2"/>
  <c r="E63" i="2"/>
  <c r="E15" i="2"/>
  <c r="E44" i="2"/>
  <c r="E27" i="2"/>
  <c r="E51" i="2"/>
  <c r="C12" i="1"/>
  <c r="C11" i="1"/>
  <c r="O104" i="1" l="1"/>
  <c r="O103" i="1"/>
  <c r="O101" i="1"/>
  <c r="O84" i="1"/>
  <c r="O68" i="1"/>
  <c r="O63" i="1"/>
  <c r="O78" i="1"/>
  <c r="O54" i="1"/>
  <c r="O77" i="1"/>
  <c r="O42" i="1"/>
  <c r="O80" i="1"/>
  <c r="O75" i="1"/>
  <c r="O85" i="1"/>
  <c r="O69" i="1"/>
  <c r="O39" i="1"/>
  <c r="O88" i="1"/>
  <c r="O74" i="1"/>
  <c r="O59" i="1"/>
  <c r="O21" i="1"/>
  <c r="O41" i="1"/>
  <c r="O72" i="1"/>
  <c r="O102" i="1"/>
  <c r="O92" i="1"/>
  <c r="O79" i="1"/>
  <c r="C15" i="1"/>
  <c r="C18" i="1" s="1"/>
  <c r="O81" i="1"/>
  <c r="O49" i="1"/>
  <c r="O73" i="1"/>
  <c r="O45" i="1"/>
  <c r="O58" i="1"/>
  <c r="O94" i="1"/>
  <c r="O86" i="1"/>
  <c r="O99" i="1"/>
  <c r="O87" i="1"/>
  <c r="O97" i="1"/>
  <c r="O65" i="1"/>
  <c r="O67" i="1"/>
  <c r="O89" i="1"/>
  <c r="O93" i="1"/>
  <c r="O71" i="1"/>
  <c r="O96" i="1"/>
  <c r="O44" i="1"/>
  <c r="O98" i="1"/>
  <c r="O22" i="1"/>
  <c r="O40" i="1"/>
  <c r="O95" i="1"/>
  <c r="O47" i="1"/>
  <c r="O91" i="1"/>
  <c r="O50" i="1"/>
  <c r="O57" i="1"/>
  <c r="O46" i="1"/>
  <c r="O66" i="1"/>
  <c r="O43" i="1"/>
  <c r="O82" i="1"/>
  <c r="O52" i="1"/>
  <c r="O76" i="1"/>
  <c r="O55" i="1"/>
  <c r="O51" i="1"/>
  <c r="O64" i="1"/>
  <c r="O70" i="1"/>
  <c r="O53" i="1"/>
  <c r="O83" i="1"/>
  <c r="O60" i="1"/>
  <c r="O100" i="1"/>
  <c r="O48" i="1"/>
  <c r="O62" i="1"/>
  <c r="O61" i="1"/>
  <c r="O90" i="1"/>
  <c r="O56" i="1"/>
  <c r="C16" i="1"/>
  <c r="D18" i="1" s="1"/>
  <c r="K75" i="1"/>
  <c r="F18" i="1" l="1"/>
  <c r="F19" i="1" s="1"/>
</calcChain>
</file>

<file path=xl/sharedStrings.xml><?xml version="1.0" encoding="utf-8"?>
<sst xmlns="http://schemas.openxmlformats.org/spreadsheetml/2006/main" count="699" uniqueCount="330">
  <si>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</si>
  <si>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</si>
  <si>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</si>
  <si>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</si>
  <si>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</si>
  <si>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</si>
  <si>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</si>
  <si>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</si>
  <si>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</si>
  <si>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</si>
  <si>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</si>
  <si>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</si>
  <si>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</si>
  <si>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</si>
  <si>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</si>
  <si>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</si>
  <si>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</si>
  <si>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</si>
  <si>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</si>
  <si>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</si>
  <si>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</si>
  <si>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</si>
  <si>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</si>
  <si>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</si>
  <si>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</si>
  <si>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</si>
  <si>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</si>
  <si>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</si>
  <si>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Maraziti A</t>
  </si>
  <si>
    <t>BBSAG Bull.85</t>
  </si>
  <si>
    <t>B</t>
  </si>
  <si>
    <t>BBSAG Bull.86</t>
  </si>
  <si>
    <t>Acerbi F</t>
  </si>
  <si>
    <t>BBSAG Bull.87</t>
  </si>
  <si>
    <t>Diethelm R</t>
  </si>
  <si>
    <t>Martignoni M</t>
  </si>
  <si>
    <t>BBSAG Bull.109</t>
  </si>
  <si>
    <t>Boistel G</t>
  </si>
  <si>
    <t>BBSAG Bull.101</t>
  </si>
  <si>
    <t>BBSAG Bull.104</t>
  </si>
  <si>
    <t>BBSAG Bull.106</t>
  </si>
  <si>
    <t>Vandenbroere J</t>
  </si>
  <si>
    <t>BBSAG Bull.110</t>
  </si>
  <si>
    <t>II</t>
  </si>
  <si>
    <t>IBVS 3090</t>
  </si>
  <si>
    <t>IBVS</t>
  </si>
  <si>
    <t>not avail.</t>
  </si>
  <si>
    <t>EW</t>
  </si>
  <si>
    <t>V1918 Cyg / GSC 3555-2003</t>
  </si>
  <si>
    <t>IBVS 5677</t>
  </si>
  <si>
    <t>I</t>
  </si>
  <si>
    <t>IBVS 5760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</si>
  <si>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</si>
  <si>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</si>
  <si>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</si>
  <si>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</si>
  <si>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</si>
  <si>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</si>
  <si>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</si>
  <si>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Start of linear fit &gt;&gt;&gt;&gt;&gt;&gt;&gt;&gt;&gt;&gt;&gt;&gt;&gt;&gt;&gt;&gt;&gt;&gt;&gt;&gt;&gt;</t>
  </si>
  <si>
    <t>IBVS 5027</t>
  </si>
  <si>
    <t>IBVS 5874</t>
  </si>
  <si>
    <t>IBVS 5898</t>
  </si>
  <si>
    <t>OEJV 0094</t>
  </si>
  <si>
    <t>IBVS 5820</t>
  </si>
  <si>
    <t>Add cycle</t>
  </si>
  <si>
    <t>Old Cycle</t>
  </si>
  <si>
    <t>IBVS 5966</t>
  </si>
  <si>
    <t>IBVS 5980</t>
  </si>
  <si>
    <t>IBVS 5965</t>
  </si>
  <si>
    <t>IBVS 5918</t>
  </si>
  <si>
    <t>IBVS 6039</t>
  </si>
  <si>
    <t>IBVS 6041</t>
  </si>
  <si>
    <t>IBVS 6044</t>
  </si>
  <si>
    <t>IBVS 6048</t>
  </si>
  <si>
    <t>IBVS 6084</t>
  </si>
  <si>
    <t>Walter 2007</t>
  </si>
  <si>
    <t>2007BAVSR..56..201</t>
  </si>
  <si>
    <t>IBVS 6118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</si>
  <si>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</si>
  <si>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</si>
  <si>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</si>
  <si>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</si>
  <si>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</si>
  <si>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</si>
  <si>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</si>
  <si>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</si>
  <si>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</si>
  <si>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</si>
  <si>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</si>
  <si>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</si>
  <si>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2446644.503 </t>
  </si>
  <si>
    <t> 02.08.1986 00:04 </t>
  </si>
  <si>
    <t> 0.610 </t>
  </si>
  <si>
    <t>E </t>
  </si>
  <si>
    <t>?</t>
  </si>
  <si>
    <t> R.Boninsegna </t>
  </si>
  <si>
    <t>IBVS 2966 </t>
  </si>
  <si>
    <t>2446649.462 </t>
  </si>
  <si>
    <t> 06.08.1986 23:05 </t>
  </si>
  <si>
    <t> 0.611 </t>
  </si>
  <si>
    <t>2446907.9108 </t>
  </si>
  <si>
    <t> 22.04.1987 09:51 </t>
  </si>
  <si>
    <t> 0.6173 </t>
  </si>
  <si>
    <t> M.A.Seeds </t>
  </si>
  <si>
    <t>IBVS 3090 </t>
  </si>
  <si>
    <t>2447361.378 </t>
  </si>
  <si>
    <t> 18.07.1988 21:04 </t>
  </si>
  <si>
    <t> 0.623 </t>
  </si>
  <si>
    <t>V </t>
  </si>
  <si>
    <t> M.Martignoni </t>
  </si>
  <si>
    <t> BBS 109 </t>
  </si>
  <si>
    <t>2447362.386 </t>
  </si>
  <si>
    <t> 19.07.1988 21:15 </t>
  </si>
  <si>
    <t> 0.598 </t>
  </si>
  <si>
    <t>2447363.452 </t>
  </si>
  <si>
    <t> 20.07.1988 22:50 </t>
  </si>
  <si>
    <t> 0.631 </t>
  </si>
  <si>
    <t>2448749.462 </t>
  </si>
  <si>
    <t> 06.05.1992 23:05 </t>
  </si>
  <si>
    <t> 0.432 </t>
  </si>
  <si>
    <t> G.Boistel </t>
  </si>
  <si>
    <t> BBS 101 </t>
  </si>
  <si>
    <t>2449198.3840 </t>
  </si>
  <si>
    <t> 29.07.1993 21:12 </t>
  </si>
  <si>
    <t> 0.2306 </t>
  </si>
  <si>
    <t> R.Diethelm </t>
  </si>
  <si>
    <t> BBS 104 </t>
  </si>
  <si>
    <t>2449219.475 </t>
  </si>
  <si>
    <t> 19.08.1993 23:24 </t>
  </si>
  <si>
    <t> 0.250 </t>
  </si>
  <si>
    <t> BBS 106/113 </t>
  </si>
  <si>
    <t>2449568.405 </t>
  </si>
  <si>
    <t> 03.08.1994 21:43 </t>
  </si>
  <si>
    <t> 0.458 </t>
  </si>
  <si>
    <t>2449569.417 </t>
  </si>
  <si>
    <t> 04.08.1994 22:00 </t>
  </si>
  <si>
    <t> 0.231 </t>
  </si>
  <si>
    <t>2449877.439 </t>
  </si>
  <si>
    <t> 08.06.1995 22:32 </t>
  </si>
  <si>
    <t> 0.436 </t>
  </si>
  <si>
    <t> J.Vandenbroere </t>
  </si>
  <si>
    <t> BBS 110 </t>
  </si>
  <si>
    <t>2449896.449 </t>
  </si>
  <si>
    <t> 27.06.1995 22:46 </t>
  </si>
  <si>
    <t> 0.440 </t>
  </si>
  <si>
    <t>2449897.478 </t>
  </si>
  <si>
    <t> 28.06.1995 23:28 </t>
  </si>
  <si>
    <t> 0.229 </t>
  </si>
  <si>
    <t>2451275.8345 </t>
  </si>
  <si>
    <t> 07.04.1999 08:01 </t>
  </si>
  <si>
    <t> 0.0205 </t>
  </si>
  <si>
    <t>IBVS 5027 </t>
  </si>
  <si>
    <t>2451288.8466 </t>
  </si>
  <si>
    <t> 20.04.1999 08:19 </t>
  </si>
  <si>
    <t> 0.0176 </t>
  </si>
  <si>
    <t>2453638.5729 </t>
  </si>
  <si>
    <t> 25.09.2005 01:44 </t>
  </si>
  <si>
    <t> 0.0063 </t>
  </si>
  <si>
    <t> S.Dvorak </t>
  </si>
  <si>
    <t>IBVS 5677 </t>
  </si>
  <si>
    <t>2453806.9416 </t>
  </si>
  <si>
    <t> 12.03.2006 10:35 </t>
  </si>
  <si>
    <t> 0.0053 </t>
  </si>
  <si>
    <t>C </t>
  </si>
  <si>
    <t>R</t>
  </si>
  <si>
    <t> R.Nelson </t>
  </si>
  <si>
    <t>IBVS 5760 </t>
  </si>
  <si>
    <t>2453924.4905 </t>
  </si>
  <si>
    <t> 07.07.2006 23:46 </t>
  </si>
  <si>
    <t> 0.0054 </t>
  </si>
  <si>
    <t> S.Parimucha et al. </t>
  </si>
  <si>
    <t>IBVS 5777 </t>
  </si>
  <si>
    <t>2454220.9430 </t>
  </si>
  <si>
    <t> 30.04.2007 10:37 </t>
  </si>
  <si>
    <t> 0.0034 </t>
  </si>
  <si>
    <t>IBVS 5820 </t>
  </si>
  <si>
    <t>2454299.4459 </t>
  </si>
  <si>
    <t> 17.07.2007 22:42 </t>
  </si>
  <si>
    <t> 0.0027 </t>
  </si>
  <si>
    <t>o</t>
  </si>
  <si>
    <t> W.Moschner &amp; P.Frank </t>
  </si>
  <si>
    <t>BAVM 234 </t>
  </si>
  <si>
    <t>2454300.4787 </t>
  </si>
  <si>
    <t> 18.07.2007 23:29 </t>
  </si>
  <si>
    <t> 0.0025 </t>
  </si>
  <si>
    <t>2454316.387 </t>
  </si>
  <si>
    <t> 03.08.2007 21:17 </t>
  </si>
  <si>
    <t> 0.003 </t>
  </si>
  <si>
    <t>2454338.0799 </t>
  </si>
  <si>
    <t> 25.08.2007 13:55 </t>
  </si>
  <si>
    <t> 0.0046 </t>
  </si>
  <si>
    <t> H.Itoh </t>
  </si>
  <si>
    <t>VSB 46 </t>
  </si>
  <si>
    <t>2454343.4492 </t>
  </si>
  <si>
    <t> 30.08.2007 22:46 </t>
  </si>
  <si>
    <t> 0.0026 </t>
  </si>
  <si>
    <t> W.Quester </t>
  </si>
  <si>
    <t>BAVM 193 </t>
  </si>
  <si>
    <t>2454389.3122 </t>
  </si>
  <si>
    <t> 15.10.2007 19:29 </t>
  </si>
  <si>
    <t> 0.0030 </t>
  </si>
  <si>
    <t> M.&amp; C.Rätz </t>
  </si>
  <si>
    <t>BAVM 201 </t>
  </si>
  <si>
    <t>2454620.4841 </t>
  </si>
  <si>
    <t> 02.06.2008 23:37 </t>
  </si>
  <si>
    <t> 0.0023 </t>
  </si>
  <si>
    <t>IBVS 5898 </t>
  </si>
  <si>
    <t>2454624.4078 </t>
  </si>
  <si>
    <t> 06.06.2008 21:47 </t>
  </si>
  <si>
    <t> 0.0008 </t>
  </si>
  <si>
    <t> R.Ehrenberger </t>
  </si>
  <si>
    <t>OEJV 0094 </t>
  </si>
  <si>
    <t>2454675.4377 </t>
  </si>
  <si>
    <t> 27.07.2008 22:30 </t>
  </si>
  <si>
    <t>2454680.3929 </t>
  </si>
  <si>
    <t> 01.08.2008 21:25 </t>
  </si>
  <si>
    <t> 0.0005 </t>
  </si>
  <si>
    <t>2454710.3487 </t>
  </si>
  <si>
    <t> 31.08.2008 20:22 </t>
  </si>
  <si>
    <t> 0.0009 </t>
  </si>
  <si>
    <t>2454776.2503 </t>
  </si>
  <si>
    <t> 05.11.2008 18:00 </t>
  </si>
  <si>
    <t>-U;-I</t>
  </si>
  <si>
    <t> M.&amp; K.Rätz </t>
  </si>
  <si>
    <t>BAVM 209 </t>
  </si>
  <si>
    <t>2454942.5533 </t>
  </si>
  <si>
    <t> 21.04.2009 01:16 </t>
  </si>
  <si>
    <t>5911</t>
  </si>
  <si>
    <t> 0.0001 </t>
  </si>
  <si>
    <t>2454969.4097 </t>
  </si>
  <si>
    <t> 17.05.2009 21:49 </t>
  </si>
  <si>
    <t>5976</t>
  </si>
  <si>
    <t> -0.0001 </t>
  </si>
  <si>
    <t>2455065.4738 </t>
  </si>
  <si>
    <t> 21.08.2009 23:22 </t>
  </si>
  <si>
    <t>6208.5</t>
  </si>
  <si>
    <t> 0.0004 </t>
  </si>
  <si>
    <t>IBVS 5980 </t>
  </si>
  <si>
    <t>2455282.1844 </t>
  </si>
  <si>
    <t> 26.03.2010 16:25 </t>
  </si>
  <si>
    <t>6733</t>
  </si>
  <si>
    <t> -0.0003 </t>
  </si>
  <si>
    <t>Rc</t>
  </si>
  <si>
    <t> K.Shiokawa </t>
  </si>
  <si>
    <t>VSB 51 </t>
  </si>
  <si>
    <t>2455363.9942 </t>
  </si>
  <si>
    <t> 16.06.2010 11:51 </t>
  </si>
  <si>
    <t>6931</t>
  </si>
  <si>
    <t>2455380.3132 </t>
  </si>
  <si>
    <t> 02.07.2010 19:31 </t>
  </si>
  <si>
    <t>6970.5</t>
  </si>
  <si>
    <t> -0.0011 </t>
  </si>
  <si>
    <t>m</t>
  </si>
  <si>
    <t> A.Okan </t>
  </si>
  <si>
    <t>IBVS 5965 </t>
  </si>
  <si>
    <t>2455380.5193 </t>
  </si>
  <si>
    <t> 03.07.2010 00:27 </t>
  </si>
  <si>
    <t>6971</t>
  </si>
  <si>
    <t> -0.0016 </t>
  </si>
  <si>
    <t>2455390.4368 </t>
  </si>
  <si>
    <t> 12.07.2010 22:28 </t>
  </si>
  <si>
    <t>6995</t>
  </si>
  <si>
    <t> U.Demirhan </t>
  </si>
  <si>
    <t>2455412.1274 </t>
  </si>
  <si>
    <t> 03.08.2010 15:03 </t>
  </si>
  <si>
    <t>7047.5</t>
  </si>
  <si>
    <t> -0.0015 </t>
  </si>
  <si>
    <t>2455413.1612 </t>
  </si>
  <si>
    <t> 04.08.2010 15:52 </t>
  </si>
  <si>
    <t>7050</t>
  </si>
  <si>
    <t> -0.0006 </t>
  </si>
  <si>
    <t>2455468.5269 </t>
  </si>
  <si>
    <t> 29.09.2010 00:38 </t>
  </si>
  <si>
    <t>7184</t>
  </si>
  <si>
    <t> -0.0007 </t>
  </si>
  <si>
    <t> G.Gökan, Y.Kilic, M.Semuni </t>
  </si>
  <si>
    <t>IBVS 6039 </t>
  </si>
  <si>
    <t>2455481.3356 </t>
  </si>
  <si>
    <t> 11.10.2010 20:03 </t>
  </si>
  <si>
    <t>7215</t>
  </si>
  <si>
    <t> -0.0005 </t>
  </si>
  <si>
    <t>2455628.6347 </t>
  </si>
  <si>
    <t> 08.03.2011 03:13 </t>
  </si>
  <si>
    <t>7571.5</t>
  </si>
  <si>
    <t> 0.0010 </t>
  </si>
  <si>
    <t>IBVS 6044 </t>
  </si>
  <si>
    <t>2455671.5979 </t>
  </si>
  <si>
    <t> 20.04.2011 02:20 </t>
  </si>
  <si>
    <t>7675.5</t>
  </si>
  <si>
    <t> -0.0062 </t>
  </si>
  <si>
    <t> P.Frank </t>
  </si>
  <si>
    <t>BAVM 225 </t>
  </si>
  <si>
    <t>2455815.3895 </t>
  </si>
  <si>
    <t> 10.09.2011 21:20 </t>
  </si>
  <si>
    <t>8023.5</t>
  </si>
  <si>
    <t> -0.0002 </t>
  </si>
  <si>
    <t> A.Okan et al. </t>
  </si>
  <si>
    <t>IBVS 6041 </t>
  </si>
  <si>
    <t>2455830.4699 </t>
  </si>
  <si>
    <t> 25.09.2011 23:16 </t>
  </si>
  <si>
    <t>8060</t>
  </si>
  <si>
    <t> L.Pagel </t>
  </si>
  <si>
    <t>2456154.3998 </t>
  </si>
  <si>
    <t> 14.08.2012 21:35 </t>
  </si>
  <si>
    <t>8844</t>
  </si>
  <si>
    <t> F.Walter </t>
  </si>
  <si>
    <t>BAVM 228 </t>
  </si>
  <si>
    <t>2456188.2828 </t>
  </si>
  <si>
    <t> 17.09.2012 18:47 </t>
  </si>
  <si>
    <t>8926</t>
  </si>
  <si>
    <t>2456189.3145 </t>
  </si>
  <si>
    <t> 18.09.2012 19:32 </t>
  </si>
  <si>
    <t>8928.5</t>
  </si>
  <si>
    <t>2456219.2699 </t>
  </si>
  <si>
    <t> 18.10.2012 18:28 </t>
  </si>
  <si>
    <t>9001</t>
  </si>
  <si>
    <t>2456450.4430 </t>
  </si>
  <si>
    <t> 06.06.2013 22:37 </t>
  </si>
  <si>
    <t>9560.5</t>
  </si>
  <si>
    <t> 0.0003 </t>
  </si>
  <si>
    <t>BAVM 232 </t>
  </si>
  <si>
    <t>IBVS 2966</t>
  </si>
  <si>
    <t>RHN 2021</t>
  </si>
  <si>
    <t>IBVS 6262</t>
  </si>
  <si>
    <t>JBAV, 55</t>
  </si>
  <si>
    <t>JBAV, 63</t>
  </si>
  <si>
    <t>OEJV 226</t>
  </si>
  <si>
    <t>BAD?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</si>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</sst>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/>
    </xf>
    <xf numFmtId="14" fontId="39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165" fontId="0" fillId="0" borderId="10" xfId="0" applyNumberFormat="1" applyBorder="1" applyAlignment="1">
      <alignment vertical="center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 vertical="center" wrapText="1"/>
    </xf>
    <xf numFmtId="166" fontId="38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V1918 Cyg - O-C Diagr.</a:t>
            </a:r>
          </a:p>
        </c:rich>
      </c:tx>
      <c:layout>
        <c:manualLayout>
          <c:xMode val="edge"/>
          <c:yMode val="edge"/>
          <c:x val="0.347150803040811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723926380368099"/>
          <c:w val="0.7979288069557004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C-4455-A4C3-58C61E5D2F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6.1631999997189268E-3</c:v>
                </c:pt>
                <c:pt idx="4">
                  <c:v>-4.2911999917123467E-3</c:v>
                </c:pt>
                <c:pt idx="5">
                  <c:v>7.4480000330368057E-4</c:v>
                </c:pt>
                <c:pt idx="6">
                  <c:v>-1.8319999799132347E-4</c:v>
                </c:pt>
                <c:pt idx="7">
                  <c:v>-5.1839999650837854E-4</c:v>
                </c:pt>
                <c:pt idx="8">
                  <c:v>-6.2302399994223379E-2</c:v>
                </c:pt>
                <c:pt idx="9">
                  <c:v>-1.6302399992127903E-2</c:v>
                </c:pt>
                <c:pt idx="10">
                  <c:v>1.2072000026819296E-3</c:v>
                </c:pt>
                <c:pt idx="11">
                  <c:v>-4.7567999936291017E-3</c:v>
                </c:pt>
                <c:pt idx="12">
                  <c:v>-5.1392000023042783E-3</c:v>
                </c:pt>
                <c:pt idx="13">
                  <c:v>4.4424000006983988E-3</c:v>
                </c:pt>
                <c:pt idx="14">
                  <c:v>6.4400000046589412E-3</c:v>
                </c:pt>
                <c:pt idx="15">
                  <c:v>-3.9959999994607642E-3</c:v>
                </c:pt>
                <c:pt idx="16">
                  <c:v>-2.8959999996004626E-2</c:v>
                </c:pt>
                <c:pt idx="17">
                  <c:v>4.0759999974397942E-3</c:v>
                </c:pt>
                <c:pt idx="18">
                  <c:v>-1.7019200000504497E-2</c:v>
                </c:pt>
                <c:pt idx="19">
                  <c:v>-2.1173599998292048E-2</c:v>
                </c:pt>
                <c:pt idx="20">
                  <c:v>-2.6391999999759719E-3</c:v>
                </c:pt>
                <c:pt idx="21">
                  <c:v>3.6080000427318737E-4</c:v>
                </c:pt>
                <c:pt idx="22">
                  <c:v>-7.8783999997540377E-3</c:v>
                </c:pt>
                <c:pt idx="23">
                  <c:v>-2.8842399995482992E-2</c:v>
                </c:pt>
                <c:pt idx="24">
                  <c:v>-3.6707200000819284E-2</c:v>
                </c:pt>
                <c:pt idx="25">
                  <c:v>-3.3244799997191876E-2</c:v>
                </c:pt>
                <c:pt idx="26">
                  <c:v>-3.7208799993095454E-2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C-4455-A4C3-58C61E5D2F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-1.9800000009126961E-3</c:v>
                </c:pt>
                <c:pt idx="1">
                  <c:v>-1.207199995405972E-3</c:v>
                </c:pt>
                <c:pt idx="2">
                  <c:v>0</c:v>
                </c:pt>
                <c:pt idx="34">
                  <c:v>-0.14869119999639224</c:v>
                </c:pt>
                <c:pt idx="35">
                  <c:v>-0.1488552000009804</c:v>
                </c:pt>
                <c:pt idx="36">
                  <c:v>-0.14820079999481095</c:v>
                </c:pt>
                <c:pt idx="40">
                  <c:v>-0.1502591999960714</c:v>
                </c:pt>
                <c:pt idx="46">
                  <c:v>-0.16047360000084154</c:v>
                </c:pt>
                <c:pt idx="64">
                  <c:v>-0.19154239999625133</c:v>
                </c:pt>
                <c:pt idx="70">
                  <c:v>-0.19582480000099167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2C-4455-A4C3-58C61E5D2F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-6.7870400001993403E-2</c:v>
                </c:pt>
                <c:pt idx="28">
                  <c:v>-7.1116799997980706E-2</c:v>
                </c:pt>
                <c:pt idx="29">
                  <c:v>-0.13132400000176858</c:v>
                </c:pt>
                <c:pt idx="30">
                  <c:v>-0.13575599999603583</c:v>
                </c:pt>
                <c:pt idx="31">
                  <c:v>-0.13815919999615289</c:v>
                </c:pt>
                <c:pt idx="32">
                  <c:v>-0.14632719999644905</c:v>
                </c:pt>
                <c:pt idx="33">
                  <c:v>-0.14869119999639224</c:v>
                </c:pt>
                <c:pt idx="37">
                  <c:v>-0.14780079999763984</c:v>
                </c:pt>
                <c:pt idx="38">
                  <c:v>-0.14754479999828618</c:v>
                </c:pt>
                <c:pt idx="39">
                  <c:v>-0.14965759999176953</c:v>
                </c:pt>
                <c:pt idx="41">
                  <c:v>-0.15570239999215119</c:v>
                </c:pt>
                <c:pt idx="42">
                  <c:v>-0.15718560000095749</c:v>
                </c:pt>
                <c:pt idx="43">
                  <c:v>-0.1557572000019718</c:v>
                </c:pt>
                <c:pt idx="44">
                  <c:v>-0.15881439999793656</c:v>
                </c:pt>
                <c:pt idx="45">
                  <c:v>-0.15895039999304572</c:v>
                </c:pt>
                <c:pt idx="47">
                  <c:v>-0.16467759999795817</c:v>
                </c:pt>
                <c:pt idx="48">
                  <c:v>-0.16534159999719122</c:v>
                </c:pt>
                <c:pt idx="49">
                  <c:v>-0.16689359999872977</c:v>
                </c:pt>
                <c:pt idx="50">
                  <c:v>-0.17214080000121612</c:v>
                </c:pt>
                <c:pt idx="51">
                  <c:v>-0.16915321973647224</c:v>
                </c:pt>
                <c:pt idx="52">
                  <c:v>-0.17308959999354556</c:v>
                </c:pt>
                <c:pt idx="53">
                  <c:v>-0.17492080000374699</c:v>
                </c:pt>
                <c:pt idx="54">
                  <c:v>-0.17541359999449924</c:v>
                </c:pt>
                <c:pt idx="55">
                  <c:v>-0.1743679999926826</c:v>
                </c:pt>
                <c:pt idx="56">
                  <c:v>-0.1760119999962626</c:v>
                </c:pt>
                <c:pt idx="57">
                  <c:v>-0.17517599999700906</c:v>
                </c:pt>
                <c:pt idx="58">
                  <c:v>-0.17634639999596402</c:v>
                </c:pt>
                <c:pt idx="59">
                  <c:v>-0.17639999999664724</c:v>
                </c:pt>
                <c:pt idx="60">
                  <c:v>-0.17796639999869512</c:v>
                </c:pt>
                <c:pt idx="61">
                  <c:v>-0.18606879999424564</c:v>
                </c:pt>
                <c:pt idx="62">
                  <c:v>-0.1830575999993016</c:v>
                </c:pt>
                <c:pt idx="63">
                  <c:v>-0.18393199999991339</c:v>
                </c:pt>
                <c:pt idx="65">
                  <c:v>-0.18976159999874653</c:v>
                </c:pt>
                <c:pt idx="66">
                  <c:v>-0.19102559999737423</c:v>
                </c:pt>
                <c:pt idx="67">
                  <c:v>-0.19158159999642521</c:v>
                </c:pt>
                <c:pt idx="68">
                  <c:v>-0.1950687999924412</c:v>
                </c:pt>
                <c:pt idx="69">
                  <c:v>-0.19781520000105957</c:v>
                </c:pt>
                <c:pt idx="71">
                  <c:v>-0.20988719999877503</c:v>
                </c:pt>
                <c:pt idx="72">
                  <c:v>-0.2103791999979876</c:v>
                </c:pt>
                <c:pt idx="73">
                  <c:v>-0.21169920000102138</c:v>
                </c:pt>
                <c:pt idx="74">
                  <c:v>-0.21155599999474362</c:v>
                </c:pt>
                <c:pt idx="75">
                  <c:v>-0.2114199999923585</c:v>
                </c:pt>
                <c:pt idx="76">
                  <c:v>-0.2198623999938718</c:v>
                </c:pt>
                <c:pt idx="77">
                  <c:v>-0.23304079999797978</c:v>
                </c:pt>
                <c:pt idx="78">
                  <c:v>-0.25812960013718111</c:v>
                </c:pt>
                <c:pt idx="79">
                  <c:v>-0.25825520000216784</c:v>
                </c:pt>
                <c:pt idx="81">
                  <c:v>-0.25953359999402892</c:v>
                </c:pt>
                <c:pt idx="82">
                  <c:v>-0.27455199999531033</c:v>
                </c:pt>
                <c:pt idx="83">
                  <c:v>-0.2723511999938637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C-4455-A4C3-58C61E5D2F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2C-4455-A4C3-58C61E5D2F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2C-4455-A4C3-58C61E5D2F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C-4455-A4C3-58C61E5D2F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-3.1284924189008752E-2</c:v>
                </c:pt>
                <c:pt idx="1">
                  <c:v>-3.1367377205781172E-2</c:v>
                </c:pt>
                <c:pt idx="18">
                  <c:v>-6.6289665351266139E-2</c:v>
                </c:pt>
                <c:pt idx="19">
                  <c:v>-7.3755098911535574E-2</c:v>
                </c:pt>
                <c:pt idx="20">
                  <c:v>-7.4105524232818354E-2</c:v>
                </c:pt>
                <c:pt idx="21">
                  <c:v>-7.4105524232818354E-2</c:v>
                </c:pt>
                <c:pt idx="22">
                  <c:v>-7.9908155288177352E-2</c:v>
                </c:pt>
                <c:pt idx="23">
                  <c:v>-7.9925333000004928E-2</c:v>
                </c:pt>
                <c:pt idx="24">
                  <c:v>-8.5047726666991452E-2</c:v>
                </c:pt>
                <c:pt idx="25">
                  <c:v>-8.5363796564619066E-2</c:v>
                </c:pt>
                <c:pt idx="26">
                  <c:v>-8.5380974276446656E-2</c:v>
                </c:pt>
                <c:pt idx="27">
                  <c:v>-0.10830291293917914</c:v>
                </c:pt>
                <c:pt idx="28">
                  <c:v>-0.10851935210820673</c:v>
                </c:pt>
                <c:pt idx="29">
                  <c:v>-0.14759521097360231</c:v>
                </c:pt>
                <c:pt idx="30">
                  <c:v>-0.15039517800149904</c:v>
                </c:pt>
                <c:pt idx="31">
                  <c:v>-0.15235000160747847</c:v>
                </c:pt>
                <c:pt idx="32">
                  <c:v>-0.15728000490199601</c:v>
                </c:pt>
                <c:pt idx="33">
                  <c:v>-0.15858551100089266</c:v>
                </c:pt>
                <c:pt idx="34">
                  <c:v>-0.15858551100089266</c:v>
                </c:pt>
                <c:pt idx="35">
                  <c:v>-0.15860268871272026</c:v>
                </c:pt>
                <c:pt idx="36">
                  <c:v>-0.15886722547486509</c:v>
                </c:pt>
                <c:pt idx="37">
                  <c:v>-0.15886722547486509</c:v>
                </c:pt>
                <c:pt idx="38">
                  <c:v>-0.15922795742324442</c:v>
                </c:pt>
                <c:pt idx="39">
                  <c:v>-0.15931728152474789</c:v>
                </c:pt>
                <c:pt idx="40">
                  <c:v>-0.16007997192989276</c:v>
                </c:pt>
                <c:pt idx="41">
                  <c:v>-0.16392434383690679</c:v>
                </c:pt>
                <c:pt idx="42">
                  <c:v>-0.16398961914185162</c:v>
                </c:pt>
                <c:pt idx="43">
                  <c:v>-0.16483819810613443</c:v>
                </c:pt>
                <c:pt idx="44">
                  <c:v>-0.16492065112290685</c:v>
                </c:pt>
                <c:pt idx="45">
                  <c:v>-0.1654188047659069</c:v>
                </c:pt>
                <c:pt idx="46">
                  <c:v>-0.16651474278050696</c:v>
                </c:pt>
                <c:pt idx="47">
                  <c:v>-0.1692803543847485</c:v>
                </c:pt>
                <c:pt idx="48">
                  <c:v>-0.16972697489226579</c:v>
                </c:pt>
                <c:pt idx="49">
                  <c:v>-0.17132450209223141</c:v>
                </c:pt>
                <c:pt idx="50">
                  <c:v>-0.17492838603365921</c:v>
                </c:pt>
                <c:pt idx="51">
                  <c:v>-0.17524102038892131</c:v>
                </c:pt>
                <c:pt idx="52">
                  <c:v>-0.17628886081040412</c:v>
                </c:pt>
                <c:pt idx="53">
                  <c:v>-0.17656026865728</c:v>
                </c:pt>
                <c:pt idx="54">
                  <c:v>-0.17656370419964551</c:v>
                </c:pt>
                <c:pt idx="55">
                  <c:v>-0.17672861023319036</c:v>
                </c:pt>
                <c:pt idx="56">
                  <c:v>-0.17708934218156969</c:v>
                </c:pt>
                <c:pt idx="57">
                  <c:v>-0.17710651989339729</c:v>
                </c:pt>
                <c:pt idx="58">
                  <c:v>-0.17802724524735597</c:v>
                </c:pt>
                <c:pt idx="59">
                  <c:v>-0.17824024887401804</c:v>
                </c:pt>
                <c:pt idx="60">
                  <c:v>-0.180689790580632</c:v>
                </c:pt>
                <c:pt idx="61">
                  <c:v>-0.18140438339265963</c:v>
                </c:pt>
                <c:pt idx="62">
                  <c:v>-0.18379552087905976</c:v>
                </c:pt>
                <c:pt idx="63">
                  <c:v>-0.18404631547174255</c:v>
                </c:pt>
                <c:pt idx="64">
                  <c:v>-0.18943324590087393</c:v>
                </c:pt>
                <c:pt idx="65">
                  <c:v>-0.1899966748488188</c:v>
                </c:pt>
                <c:pt idx="66">
                  <c:v>-0.19001385256064637</c:v>
                </c:pt>
                <c:pt idx="67">
                  <c:v>-0.19051200620364642</c:v>
                </c:pt>
                <c:pt idx="68">
                  <c:v>-0.19385822446766041</c:v>
                </c:pt>
                <c:pt idx="69">
                  <c:v>-0.19407466363668802</c:v>
                </c:pt>
                <c:pt idx="70">
                  <c:v>-0.19435637811066045</c:v>
                </c:pt>
                <c:pt idx="71">
                  <c:v>-0.20606470649234393</c:v>
                </c:pt>
                <c:pt idx="72">
                  <c:v>-0.2065456824235164</c:v>
                </c:pt>
                <c:pt idx="73">
                  <c:v>-0.20706101377834399</c:v>
                </c:pt>
                <c:pt idx="74">
                  <c:v>-0.20751106982822679</c:v>
                </c:pt>
                <c:pt idx="75">
                  <c:v>-0.20752824754005439</c:v>
                </c:pt>
                <c:pt idx="76">
                  <c:v>-0.21442681661001342</c:v>
                </c:pt>
                <c:pt idx="77">
                  <c:v>-0.22431430753797268</c:v>
                </c:pt>
                <c:pt idx="78">
                  <c:v>-0.24173594287351172</c:v>
                </c:pt>
                <c:pt idx="79">
                  <c:v>-0.24320291946358766</c:v>
                </c:pt>
                <c:pt idx="80">
                  <c:v>-0.2450787255951602</c:v>
                </c:pt>
                <c:pt idx="81">
                  <c:v>-0.24750765404758104</c:v>
                </c:pt>
                <c:pt idx="82">
                  <c:v>-0.25413137972829869</c:v>
                </c:pt>
                <c:pt idx="83">
                  <c:v>-0.25417947732141594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2C-4455-A4C3-58C61E5D2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9880"/>
        <c:axId val="1"/>
      </c:scatterChart>
      <c:valAx>
        <c:axId val="749459880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43732292530791"/>
          <c:y val="0.92024539877300615"/>
          <c:w val="0.721935638874156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V1918 Cyg - O-C Diagr.</a:t>
            </a:r>
          </a:p>
        </c:rich>
      </c:tx>
      <c:layout>
        <c:manualLayout>
          <c:xMode val="edge"/>
          <c:yMode val="edge"/>
          <c:x val="0.346552086161643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678942920199375"/>
          <c:w val="0.798276534109420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F4-497F-A654-8F09C50DE7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6.1631999997189268E-3</c:v>
                </c:pt>
                <c:pt idx="4">
                  <c:v>-4.2911999917123467E-3</c:v>
                </c:pt>
                <c:pt idx="5">
                  <c:v>7.4480000330368057E-4</c:v>
                </c:pt>
                <c:pt idx="6">
                  <c:v>-1.8319999799132347E-4</c:v>
                </c:pt>
                <c:pt idx="7">
                  <c:v>-5.1839999650837854E-4</c:v>
                </c:pt>
                <c:pt idx="8">
                  <c:v>-6.2302399994223379E-2</c:v>
                </c:pt>
                <c:pt idx="9">
                  <c:v>-1.6302399992127903E-2</c:v>
                </c:pt>
                <c:pt idx="10">
                  <c:v>1.2072000026819296E-3</c:v>
                </c:pt>
                <c:pt idx="11">
                  <c:v>-4.7567999936291017E-3</c:v>
                </c:pt>
                <c:pt idx="12">
                  <c:v>-5.1392000023042783E-3</c:v>
                </c:pt>
                <c:pt idx="13">
                  <c:v>4.4424000006983988E-3</c:v>
                </c:pt>
                <c:pt idx="14">
                  <c:v>6.4400000046589412E-3</c:v>
                </c:pt>
                <c:pt idx="15">
                  <c:v>-3.9959999994607642E-3</c:v>
                </c:pt>
                <c:pt idx="16">
                  <c:v>-2.8959999996004626E-2</c:v>
                </c:pt>
                <c:pt idx="17">
                  <c:v>4.0759999974397942E-3</c:v>
                </c:pt>
                <c:pt idx="18">
                  <c:v>-1.7019200000504497E-2</c:v>
                </c:pt>
                <c:pt idx="19">
                  <c:v>-2.1173599998292048E-2</c:v>
                </c:pt>
                <c:pt idx="20">
                  <c:v>-2.6391999999759719E-3</c:v>
                </c:pt>
                <c:pt idx="21">
                  <c:v>3.6080000427318737E-4</c:v>
                </c:pt>
                <c:pt idx="22">
                  <c:v>-7.8783999997540377E-3</c:v>
                </c:pt>
                <c:pt idx="23">
                  <c:v>-2.8842399995482992E-2</c:v>
                </c:pt>
                <c:pt idx="24">
                  <c:v>-3.6707200000819284E-2</c:v>
                </c:pt>
                <c:pt idx="25">
                  <c:v>-3.3244799997191876E-2</c:v>
                </c:pt>
                <c:pt idx="26">
                  <c:v>-3.7208799993095454E-2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4-497F-A654-8F09C50DE7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-1.9800000009126961E-3</c:v>
                </c:pt>
                <c:pt idx="1">
                  <c:v>-1.207199995405972E-3</c:v>
                </c:pt>
                <c:pt idx="2">
                  <c:v>0</c:v>
                </c:pt>
                <c:pt idx="34">
                  <c:v>-0.14869119999639224</c:v>
                </c:pt>
                <c:pt idx="35">
                  <c:v>-0.1488552000009804</c:v>
                </c:pt>
                <c:pt idx="36">
                  <c:v>-0.14820079999481095</c:v>
                </c:pt>
                <c:pt idx="40">
                  <c:v>-0.1502591999960714</c:v>
                </c:pt>
                <c:pt idx="46">
                  <c:v>-0.16047360000084154</c:v>
                </c:pt>
                <c:pt idx="64">
                  <c:v>-0.19154239999625133</c:v>
                </c:pt>
                <c:pt idx="70">
                  <c:v>-0.19582480000099167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F4-497F-A654-8F09C50DE7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-6.7870400001993403E-2</c:v>
                </c:pt>
                <c:pt idx="28">
                  <c:v>-7.1116799997980706E-2</c:v>
                </c:pt>
                <c:pt idx="29">
                  <c:v>-0.13132400000176858</c:v>
                </c:pt>
                <c:pt idx="30">
                  <c:v>-0.13575599999603583</c:v>
                </c:pt>
                <c:pt idx="31">
                  <c:v>-0.13815919999615289</c:v>
                </c:pt>
                <c:pt idx="32">
                  <c:v>-0.14632719999644905</c:v>
                </c:pt>
                <c:pt idx="33">
                  <c:v>-0.14869119999639224</c:v>
                </c:pt>
                <c:pt idx="37">
                  <c:v>-0.14780079999763984</c:v>
                </c:pt>
                <c:pt idx="38">
                  <c:v>-0.14754479999828618</c:v>
                </c:pt>
                <c:pt idx="39">
                  <c:v>-0.14965759999176953</c:v>
                </c:pt>
                <c:pt idx="41">
                  <c:v>-0.15570239999215119</c:v>
                </c:pt>
                <c:pt idx="42">
                  <c:v>-0.15718560000095749</c:v>
                </c:pt>
                <c:pt idx="43">
                  <c:v>-0.1557572000019718</c:v>
                </c:pt>
                <c:pt idx="44">
                  <c:v>-0.15881439999793656</c:v>
                </c:pt>
                <c:pt idx="45">
                  <c:v>-0.15895039999304572</c:v>
                </c:pt>
                <c:pt idx="47">
                  <c:v>-0.16467759999795817</c:v>
                </c:pt>
                <c:pt idx="48">
                  <c:v>-0.16534159999719122</c:v>
                </c:pt>
                <c:pt idx="49">
                  <c:v>-0.16689359999872977</c:v>
                </c:pt>
                <c:pt idx="50">
                  <c:v>-0.17214080000121612</c:v>
                </c:pt>
                <c:pt idx="51">
                  <c:v>-0.16915321973647224</c:v>
                </c:pt>
                <c:pt idx="52">
                  <c:v>-0.17308959999354556</c:v>
                </c:pt>
                <c:pt idx="53">
                  <c:v>-0.17492080000374699</c:v>
                </c:pt>
                <c:pt idx="54">
                  <c:v>-0.17541359999449924</c:v>
                </c:pt>
                <c:pt idx="55">
                  <c:v>-0.1743679999926826</c:v>
                </c:pt>
                <c:pt idx="56">
                  <c:v>-0.1760119999962626</c:v>
                </c:pt>
                <c:pt idx="57">
                  <c:v>-0.17517599999700906</c:v>
                </c:pt>
                <c:pt idx="58">
                  <c:v>-0.17634639999596402</c:v>
                </c:pt>
                <c:pt idx="59">
                  <c:v>-0.17639999999664724</c:v>
                </c:pt>
                <c:pt idx="60">
                  <c:v>-0.17796639999869512</c:v>
                </c:pt>
                <c:pt idx="61">
                  <c:v>-0.18606879999424564</c:v>
                </c:pt>
                <c:pt idx="62">
                  <c:v>-0.1830575999993016</c:v>
                </c:pt>
                <c:pt idx="63">
                  <c:v>-0.18393199999991339</c:v>
                </c:pt>
                <c:pt idx="65">
                  <c:v>-0.18976159999874653</c:v>
                </c:pt>
                <c:pt idx="66">
                  <c:v>-0.19102559999737423</c:v>
                </c:pt>
                <c:pt idx="67">
                  <c:v>-0.19158159999642521</c:v>
                </c:pt>
                <c:pt idx="68">
                  <c:v>-0.1950687999924412</c:v>
                </c:pt>
                <c:pt idx="69">
                  <c:v>-0.19781520000105957</c:v>
                </c:pt>
                <c:pt idx="71">
                  <c:v>-0.20988719999877503</c:v>
                </c:pt>
                <c:pt idx="72">
                  <c:v>-0.2103791999979876</c:v>
                </c:pt>
                <c:pt idx="73">
                  <c:v>-0.21169920000102138</c:v>
                </c:pt>
                <c:pt idx="74">
                  <c:v>-0.21155599999474362</c:v>
                </c:pt>
                <c:pt idx="75">
                  <c:v>-0.2114199999923585</c:v>
                </c:pt>
                <c:pt idx="76">
                  <c:v>-0.2198623999938718</c:v>
                </c:pt>
                <c:pt idx="77">
                  <c:v>-0.23304079999797978</c:v>
                </c:pt>
                <c:pt idx="78">
                  <c:v>-0.25812960013718111</c:v>
                </c:pt>
                <c:pt idx="79">
                  <c:v>-0.25825520000216784</c:v>
                </c:pt>
                <c:pt idx="81">
                  <c:v>-0.25953359999402892</c:v>
                </c:pt>
                <c:pt idx="82">
                  <c:v>-0.27455199999531033</c:v>
                </c:pt>
                <c:pt idx="83">
                  <c:v>-0.2723511999938637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4-497F-A654-8F09C50DE7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F4-497F-A654-8F09C50DE7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F4-497F-A654-8F09C50DE7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2E-3</c:v>
                  </c:pt>
                  <c:pt idx="38">
                    <c:v>0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6.9999999999999999E-4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3.0000000000000001E-3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6.9999999999999999E-4</c:v>
                  </c:pt>
                  <c:pt idx="6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F4-497F-A654-8F09C50DE7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-637.5</c:v>
                </c:pt>
                <c:pt idx="1">
                  <c:v>-625.5</c:v>
                </c:pt>
                <c:pt idx="2">
                  <c:v>0</c:v>
                </c:pt>
                <c:pt idx="3">
                  <c:v>178</c:v>
                </c:pt>
                <c:pt idx="4">
                  <c:v>202</c:v>
                </c:pt>
                <c:pt idx="5">
                  <c:v>204.5</c:v>
                </c:pt>
                <c:pt idx="6">
                  <c:v>209.5</c:v>
                </c:pt>
                <c:pt idx="7">
                  <c:v>214</c:v>
                </c:pt>
                <c:pt idx="8">
                  <c:v>229</c:v>
                </c:pt>
                <c:pt idx="9">
                  <c:v>229</c:v>
                </c:pt>
                <c:pt idx="10">
                  <c:v>250.5</c:v>
                </c:pt>
                <c:pt idx="11">
                  <c:v>253</c:v>
                </c:pt>
                <c:pt idx="12">
                  <c:v>282</c:v>
                </c:pt>
                <c:pt idx="13">
                  <c:v>308.5</c:v>
                </c:pt>
                <c:pt idx="14">
                  <c:v>412.5</c:v>
                </c:pt>
                <c:pt idx="15">
                  <c:v>1097.5</c:v>
                </c:pt>
                <c:pt idx="16">
                  <c:v>1100</c:v>
                </c:pt>
                <c:pt idx="17">
                  <c:v>1102.5</c:v>
                </c:pt>
                <c:pt idx="18">
                  <c:v>4457</c:v>
                </c:pt>
                <c:pt idx="19">
                  <c:v>5543.5</c:v>
                </c:pt>
                <c:pt idx="20">
                  <c:v>5594.5</c:v>
                </c:pt>
                <c:pt idx="21">
                  <c:v>5594.5</c:v>
                </c:pt>
                <c:pt idx="22">
                  <c:v>6439</c:v>
                </c:pt>
                <c:pt idx="23">
                  <c:v>6441.5</c:v>
                </c:pt>
                <c:pt idx="24">
                  <c:v>7187</c:v>
                </c:pt>
                <c:pt idx="25">
                  <c:v>7233</c:v>
                </c:pt>
                <c:pt idx="26">
                  <c:v>7235.5</c:v>
                </c:pt>
                <c:pt idx="27">
                  <c:v>10571.5</c:v>
                </c:pt>
                <c:pt idx="28">
                  <c:v>10603</c:v>
                </c:pt>
                <c:pt idx="29">
                  <c:v>16290</c:v>
                </c:pt>
                <c:pt idx="30">
                  <c:v>16697.5</c:v>
                </c:pt>
                <c:pt idx="31">
                  <c:v>16982</c:v>
                </c:pt>
                <c:pt idx="32">
                  <c:v>17699.5</c:v>
                </c:pt>
                <c:pt idx="33">
                  <c:v>17889.5</c:v>
                </c:pt>
                <c:pt idx="34">
                  <c:v>17889.5</c:v>
                </c:pt>
                <c:pt idx="35">
                  <c:v>17892</c:v>
                </c:pt>
                <c:pt idx="36">
                  <c:v>17930.5</c:v>
                </c:pt>
                <c:pt idx="37">
                  <c:v>17930.5</c:v>
                </c:pt>
                <c:pt idx="38">
                  <c:v>17983</c:v>
                </c:pt>
                <c:pt idx="39">
                  <c:v>17996</c:v>
                </c:pt>
                <c:pt idx="40">
                  <c:v>18107</c:v>
                </c:pt>
                <c:pt idx="41">
                  <c:v>18666.5</c:v>
                </c:pt>
                <c:pt idx="42">
                  <c:v>18676</c:v>
                </c:pt>
                <c:pt idx="43">
                  <c:v>18799.5</c:v>
                </c:pt>
                <c:pt idx="44">
                  <c:v>18811.5</c:v>
                </c:pt>
                <c:pt idx="45">
                  <c:v>18884</c:v>
                </c:pt>
                <c:pt idx="46">
                  <c:v>19043.5</c:v>
                </c:pt>
                <c:pt idx="47">
                  <c:v>19446</c:v>
                </c:pt>
                <c:pt idx="48">
                  <c:v>19511</c:v>
                </c:pt>
                <c:pt idx="49">
                  <c:v>19743.5</c:v>
                </c:pt>
                <c:pt idx="50">
                  <c:v>20268</c:v>
                </c:pt>
                <c:pt idx="51">
                  <c:v>20313.5</c:v>
                </c:pt>
                <c:pt idx="52">
                  <c:v>20466</c:v>
                </c:pt>
                <c:pt idx="53">
                  <c:v>20505.5</c:v>
                </c:pt>
                <c:pt idx="54">
                  <c:v>20506</c:v>
                </c:pt>
                <c:pt idx="55">
                  <c:v>20530</c:v>
                </c:pt>
                <c:pt idx="56">
                  <c:v>20582.5</c:v>
                </c:pt>
                <c:pt idx="57">
                  <c:v>20585</c:v>
                </c:pt>
                <c:pt idx="58">
                  <c:v>20719</c:v>
                </c:pt>
                <c:pt idx="59">
                  <c:v>20750</c:v>
                </c:pt>
                <c:pt idx="60">
                  <c:v>21106.5</c:v>
                </c:pt>
                <c:pt idx="61">
                  <c:v>21210.5</c:v>
                </c:pt>
                <c:pt idx="62">
                  <c:v>21558.5</c:v>
                </c:pt>
                <c:pt idx="63">
                  <c:v>21595</c:v>
                </c:pt>
                <c:pt idx="64">
                  <c:v>22379</c:v>
                </c:pt>
                <c:pt idx="65">
                  <c:v>22461</c:v>
                </c:pt>
                <c:pt idx="66">
                  <c:v>22463.5</c:v>
                </c:pt>
                <c:pt idx="67">
                  <c:v>22536</c:v>
                </c:pt>
                <c:pt idx="68">
                  <c:v>23023</c:v>
                </c:pt>
                <c:pt idx="69">
                  <c:v>23054.5</c:v>
                </c:pt>
                <c:pt idx="70">
                  <c:v>23095.5</c:v>
                </c:pt>
                <c:pt idx="71">
                  <c:v>24799.5</c:v>
                </c:pt>
                <c:pt idx="72">
                  <c:v>24869.5</c:v>
                </c:pt>
                <c:pt idx="73">
                  <c:v>24944.5</c:v>
                </c:pt>
                <c:pt idx="74">
                  <c:v>25010</c:v>
                </c:pt>
                <c:pt idx="75">
                  <c:v>25012.5</c:v>
                </c:pt>
                <c:pt idx="76">
                  <c:v>26016.5</c:v>
                </c:pt>
                <c:pt idx="77">
                  <c:v>27455.5</c:v>
                </c:pt>
                <c:pt idx="78">
                  <c:v>29991</c:v>
                </c:pt>
                <c:pt idx="79">
                  <c:v>30204.5</c:v>
                </c:pt>
                <c:pt idx="80">
                  <c:v>30477.5</c:v>
                </c:pt>
                <c:pt idx="81">
                  <c:v>30831</c:v>
                </c:pt>
                <c:pt idx="82">
                  <c:v>31795</c:v>
                </c:pt>
                <c:pt idx="83">
                  <c:v>31802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-3.1284924189008752E-2</c:v>
                </c:pt>
                <c:pt idx="1">
                  <c:v>-3.1367377205781172E-2</c:v>
                </c:pt>
                <c:pt idx="18">
                  <c:v>-6.6289665351266139E-2</c:v>
                </c:pt>
                <c:pt idx="19">
                  <c:v>-7.3755098911535574E-2</c:v>
                </c:pt>
                <c:pt idx="20">
                  <c:v>-7.4105524232818354E-2</c:v>
                </c:pt>
                <c:pt idx="21">
                  <c:v>-7.4105524232818354E-2</c:v>
                </c:pt>
                <c:pt idx="22">
                  <c:v>-7.9908155288177352E-2</c:v>
                </c:pt>
                <c:pt idx="23">
                  <c:v>-7.9925333000004928E-2</c:v>
                </c:pt>
                <c:pt idx="24">
                  <c:v>-8.5047726666991452E-2</c:v>
                </c:pt>
                <c:pt idx="25">
                  <c:v>-8.5363796564619066E-2</c:v>
                </c:pt>
                <c:pt idx="26">
                  <c:v>-8.5380974276446656E-2</c:v>
                </c:pt>
                <c:pt idx="27">
                  <c:v>-0.10830291293917914</c:v>
                </c:pt>
                <c:pt idx="28">
                  <c:v>-0.10851935210820673</c:v>
                </c:pt>
                <c:pt idx="29">
                  <c:v>-0.14759521097360231</c:v>
                </c:pt>
                <c:pt idx="30">
                  <c:v>-0.15039517800149904</c:v>
                </c:pt>
                <c:pt idx="31">
                  <c:v>-0.15235000160747847</c:v>
                </c:pt>
                <c:pt idx="32">
                  <c:v>-0.15728000490199601</c:v>
                </c:pt>
                <c:pt idx="33">
                  <c:v>-0.15858551100089266</c:v>
                </c:pt>
                <c:pt idx="34">
                  <c:v>-0.15858551100089266</c:v>
                </c:pt>
                <c:pt idx="35">
                  <c:v>-0.15860268871272026</c:v>
                </c:pt>
                <c:pt idx="36">
                  <c:v>-0.15886722547486509</c:v>
                </c:pt>
                <c:pt idx="37">
                  <c:v>-0.15886722547486509</c:v>
                </c:pt>
                <c:pt idx="38">
                  <c:v>-0.15922795742324442</c:v>
                </c:pt>
                <c:pt idx="39">
                  <c:v>-0.15931728152474789</c:v>
                </c:pt>
                <c:pt idx="40">
                  <c:v>-0.16007997192989276</c:v>
                </c:pt>
                <c:pt idx="41">
                  <c:v>-0.16392434383690679</c:v>
                </c:pt>
                <c:pt idx="42">
                  <c:v>-0.16398961914185162</c:v>
                </c:pt>
                <c:pt idx="43">
                  <c:v>-0.16483819810613443</c:v>
                </c:pt>
                <c:pt idx="44">
                  <c:v>-0.16492065112290685</c:v>
                </c:pt>
                <c:pt idx="45">
                  <c:v>-0.1654188047659069</c:v>
                </c:pt>
                <c:pt idx="46">
                  <c:v>-0.16651474278050696</c:v>
                </c:pt>
                <c:pt idx="47">
                  <c:v>-0.1692803543847485</c:v>
                </c:pt>
                <c:pt idx="48">
                  <c:v>-0.16972697489226579</c:v>
                </c:pt>
                <c:pt idx="49">
                  <c:v>-0.17132450209223141</c:v>
                </c:pt>
                <c:pt idx="50">
                  <c:v>-0.17492838603365921</c:v>
                </c:pt>
                <c:pt idx="51">
                  <c:v>-0.17524102038892131</c:v>
                </c:pt>
                <c:pt idx="52">
                  <c:v>-0.17628886081040412</c:v>
                </c:pt>
                <c:pt idx="53">
                  <c:v>-0.17656026865728</c:v>
                </c:pt>
                <c:pt idx="54">
                  <c:v>-0.17656370419964551</c:v>
                </c:pt>
                <c:pt idx="55">
                  <c:v>-0.17672861023319036</c:v>
                </c:pt>
                <c:pt idx="56">
                  <c:v>-0.17708934218156969</c:v>
                </c:pt>
                <c:pt idx="57">
                  <c:v>-0.17710651989339729</c:v>
                </c:pt>
                <c:pt idx="58">
                  <c:v>-0.17802724524735597</c:v>
                </c:pt>
                <c:pt idx="59">
                  <c:v>-0.17824024887401804</c:v>
                </c:pt>
                <c:pt idx="60">
                  <c:v>-0.180689790580632</c:v>
                </c:pt>
                <c:pt idx="61">
                  <c:v>-0.18140438339265963</c:v>
                </c:pt>
                <c:pt idx="62">
                  <c:v>-0.18379552087905976</c:v>
                </c:pt>
                <c:pt idx="63">
                  <c:v>-0.18404631547174255</c:v>
                </c:pt>
                <c:pt idx="64">
                  <c:v>-0.18943324590087393</c:v>
                </c:pt>
                <c:pt idx="65">
                  <c:v>-0.1899966748488188</c:v>
                </c:pt>
                <c:pt idx="66">
                  <c:v>-0.19001385256064637</c:v>
                </c:pt>
                <c:pt idx="67">
                  <c:v>-0.19051200620364642</c:v>
                </c:pt>
                <c:pt idx="68">
                  <c:v>-0.19385822446766041</c:v>
                </c:pt>
                <c:pt idx="69">
                  <c:v>-0.19407466363668802</c:v>
                </c:pt>
                <c:pt idx="70">
                  <c:v>-0.19435637811066045</c:v>
                </c:pt>
                <c:pt idx="71">
                  <c:v>-0.20606470649234393</c:v>
                </c:pt>
                <c:pt idx="72">
                  <c:v>-0.2065456824235164</c:v>
                </c:pt>
                <c:pt idx="73">
                  <c:v>-0.20706101377834399</c:v>
                </c:pt>
                <c:pt idx="74">
                  <c:v>-0.20751106982822679</c:v>
                </c:pt>
                <c:pt idx="75">
                  <c:v>-0.20752824754005439</c:v>
                </c:pt>
                <c:pt idx="76">
                  <c:v>-0.21442681661001342</c:v>
                </c:pt>
                <c:pt idx="77">
                  <c:v>-0.22431430753797268</c:v>
                </c:pt>
                <c:pt idx="78">
                  <c:v>-0.24173594287351172</c:v>
                </c:pt>
                <c:pt idx="79">
                  <c:v>-0.24320291946358766</c:v>
                </c:pt>
                <c:pt idx="80">
                  <c:v>-0.2450787255951602</c:v>
                </c:pt>
                <c:pt idx="81">
                  <c:v>-0.24750765404758104</c:v>
                </c:pt>
                <c:pt idx="82">
                  <c:v>-0.25413137972829869</c:v>
                </c:pt>
                <c:pt idx="83">
                  <c:v>-0.25417947732141594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F4-497F-A654-8F09C50D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312"/>
        <c:axId val="1"/>
      </c:scatterChart>
      <c:valAx>
        <c:axId val="74943331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0362928771835"/>
          <c:y val="0.9204921861831491"/>
          <c:w val="0.7206901982079825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19050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3002994-1064-1FCE-E2B4-169D1E65D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25</xdr:col>
      <xdr:colOff>76200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B3AEBB1-6C52-EA1E-1885-FB1C284CB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77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3090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konkoly.hu/cgi-bin/IBVS?6044" TargetMode="External"/><Relationship Id="rId42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57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konkoly.hu/cgi-bin/IBVS?5980" TargetMode="External"/><Relationship Id="rId38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2966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5965" TargetMode="External"/><Relationship Id="rId4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2966" TargetMode="External"/><Relationship Id="rId6" Type="http://schemas.openxmlformats.org/officeDocument/2006/relationships/hyperlink" Target="http://www.konkoly.hu/cgi-bin/IBVS?5677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konkoly.hu/cgi-bin/IBVS?5980" TargetMode="External"/><Relationship Id="rId32" Type="http://schemas.openxmlformats.org/officeDocument/2006/relationships/hyperlink" Target="http://www.konkoly.hu/cgi-bin/IBVS?6039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konkoly.hu/cgi-bin/IBVS?5965" TargetMode="External"/><Relationship Id="rId36" Type="http://schemas.openxmlformats.org/officeDocument/2006/relationships/hyperlink" Target="http://www.konkoly.hu/cgi-bin/IBVS?6041" TargetMode="External"/><Relationship Id="rId1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www.konkoly.hu/cgi-bin/IBVS?5820" TargetMode="External"/><Relationship Id="rId14" Type="http://schemas.openxmlformats.org/officeDocument/2006/relationships/hyperlink" Target="http://www.bav-astro.de/sfs/BAVM_link.php?BAVMnr=193" TargetMode="External"/><Relationship Id="rId22" Type="http://schemas.openxmlformats.org/officeDocument/2006/relationships/hyperlink" Target="http://www.konkoly.hu/cgi-bin/IBVS?5898" TargetMode="External"/><Relationship Id="rId27" Type="http://schemas.openxmlformats.org/officeDocument/2006/relationships/hyperlink" Target="http://www.konkoly.hu/cgi-bin/IBVS?5965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7"/>
  <sheetViews>
    <sheetView tabSelected="1" workbookViewId="0">
      <pane xSplit="14" ySplit="21" topLeftCell="O100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5.5703125" customWidth="1"/>
    <col min="2" max="2" width="5.14062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26" customFormat="1" ht="12.95" customHeight="1" x14ac:dyDescent="0.2">
      <c r="A2" s="26" t="s">
        <v>24</v>
      </c>
      <c r="B2" s="26" t="s">
        <v>47</v>
      </c>
      <c r="C2" s="27"/>
    </row>
    <row r="3" spans="1:6" s="26" customFormat="1" ht="12.95" customHeight="1" thickBot="1" x14ac:dyDescent="0.25"/>
    <row r="4" spans="1:6" s="26" customFormat="1" ht="12.95" customHeight="1" thickTop="1" thickBot="1" x14ac:dyDescent="0.25">
      <c r="A4" s="28" t="s">
        <v>1</v>
      </c>
      <c r="C4" s="29" t="s">
        <v>46</v>
      </c>
      <c r="D4" s="30" t="s">
        <v>46</v>
      </c>
    </row>
    <row r="5" spans="1:6" s="26" customFormat="1" ht="12.95" customHeight="1" thickTop="1" x14ac:dyDescent="0.2">
      <c r="A5" s="31" t="s">
        <v>53</v>
      </c>
      <c r="C5" s="32">
        <v>-9.5</v>
      </c>
      <c r="D5" s="26" t="s">
        <v>54</v>
      </c>
    </row>
    <row r="6" spans="1:6" s="26" customFormat="1" ht="12.95" customHeight="1" x14ac:dyDescent="0.2">
      <c r="A6" s="28" t="s">
        <v>2</v>
      </c>
    </row>
    <row r="7" spans="1:6" s="26" customFormat="1" ht="12.95" customHeight="1" x14ac:dyDescent="0.2">
      <c r="A7" s="26" t="s">
        <v>3</v>
      </c>
      <c r="C7" s="26">
        <v>46907.910799999998</v>
      </c>
      <c r="D7" s="27" t="s">
        <v>45</v>
      </c>
    </row>
    <row r="8" spans="1:6" s="26" customFormat="1" ht="12.95" customHeight="1" x14ac:dyDescent="0.2">
      <c r="A8" s="26" t="s">
        <v>4</v>
      </c>
      <c r="C8" s="26">
        <v>0.41318559999999999</v>
      </c>
      <c r="D8" s="33">
        <v>3090</v>
      </c>
    </row>
    <row r="9" spans="1:6" s="26" customFormat="1" ht="12.95" customHeight="1" x14ac:dyDescent="0.2">
      <c r="A9" s="34" t="s">
        <v>59</v>
      </c>
      <c r="B9" s="35">
        <v>72</v>
      </c>
      <c r="C9" s="36" t="str">
        <f>"F"&amp;B9</f>
        <v>F72</v>
      </c>
      <c r="D9" s="37" t="str">
        <f>"G"&amp;B9</f>
        <v>G72</v>
      </c>
    </row>
    <row r="10" spans="1:6" s="26" customFormat="1" ht="12.95" customHeight="1" thickBot="1" x14ac:dyDescent="0.25">
      <c r="C10" s="38" t="s">
        <v>20</v>
      </c>
      <c r="D10" s="38" t="s">
        <v>21</v>
      </c>
    </row>
    <row r="11" spans="1:6" s="26" customFormat="1" ht="12.95" customHeight="1" x14ac:dyDescent="0.2">
      <c r="A11" s="26" t="s">
        <v>16</v>
      </c>
      <c r="C11" s="37">
        <f ca="1">INTERCEPT(INDIRECT($D$9):G991,INDIRECT($C$9):F991)</f>
        <v>-3.5665240705043511E-2</v>
      </c>
      <c r="D11" s="39"/>
    </row>
    <row r="12" spans="1:6" s="26" customFormat="1" ht="12.95" customHeight="1" x14ac:dyDescent="0.2">
      <c r="A12" s="26" t="s">
        <v>17</v>
      </c>
      <c r="C12" s="37">
        <f ca="1">SLOPE(INDIRECT($D$9):G991,INDIRECT($C$9):F991)</f>
        <v>-6.8710847310349172E-6</v>
      </c>
      <c r="D12" s="39"/>
    </row>
    <row r="13" spans="1:6" s="26" customFormat="1" ht="12.95" customHeight="1" x14ac:dyDescent="0.2">
      <c r="A13" s="26" t="s">
        <v>19</v>
      </c>
      <c r="C13" s="39" t="s">
        <v>14</v>
      </c>
    </row>
    <row r="14" spans="1:6" s="26" customFormat="1" ht="12.95" customHeight="1" x14ac:dyDescent="0.2"/>
    <row r="15" spans="1:6" s="26" customFormat="1" ht="12.95" customHeight="1" x14ac:dyDescent="0.2">
      <c r="A15" s="40" t="s">
        <v>18</v>
      </c>
      <c r="C15" s="41">
        <f ca="1">(C7+C11)+(C8+C12)*INT(MAX(F21:F3532))</f>
        <v>60047.785071722676</v>
      </c>
      <c r="E15" s="42" t="s">
        <v>65</v>
      </c>
      <c r="F15" s="32">
        <v>1</v>
      </c>
    </row>
    <row r="16" spans="1:6" s="26" customFormat="1" ht="12.95" customHeight="1" x14ac:dyDescent="0.2">
      <c r="A16" s="28" t="s">
        <v>5</v>
      </c>
      <c r="C16" s="43">
        <f ca="1">+C8+C12</f>
        <v>0.41317872891526897</v>
      </c>
      <c r="E16" s="42" t="s">
        <v>55</v>
      </c>
      <c r="F16" s="44">
        <f ca="1">NOW()+15018.5+$C$5/24</f>
        <v>60307.829171990736</v>
      </c>
    </row>
    <row r="17" spans="1:31" s="26" customFormat="1" ht="12.95" customHeight="1" thickBot="1" x14ac:dyDescent="0.25">
      <c r="A17" s="42" t="s">
        <v>52</v>
      </c>
      <c r="C17" s="26">
        <f>COUNT(C21:C2190)</f>
        <v>84</v>
      </c>
      <c r="E17" s="42" t="s">
        <v>66</v>
      </c>
      <c r="F17" s="44">
        <f ca="1">ROUND(2*(F16-$C$7)/$C$8,0)/2+F15</f>
        <v>32431.5</v>
      </c>
    </row>
    <row r="18" spans="1:31" s="26" customFormat="1" ht="12.95" customHeight="1" thickTop="1" thickBot="1" x14ac:dyDescent="0.25">
      <c r="A18" s="28" t="s">
        <v>6</v>
      </c>
      <c r="C18" s="78">
        <f ca="1">+C15</f>
        <v>60047.785071722676</v>
      </c>
      <c r="D18" s="45">
        <f ca="1">+C16</f>
        <v>0.41317872891526897</v>
      </c>
      <c r="E18" s="42" t="s">
        <v>56</v>
      </c>
      <c r="F18" s="37">
        <f ca="1">ROUND(2*(F16-$C$15)/$C$16,0)/2+F15</f>
        <v>630.5</v>
      </c>
    </row>
    <row r="19" spans="1:31" s="26" customFormat="1" ht="12.95" customHeight="1" thickTop="1" x14ac:dyDescent="0.2">
      <c r="E19" s="42" t="s">
        <v>57</v>
      </c>
      <c r="F19" s="46">
        <f ca="1">+$C$15+$C$16*F18-15018.5-$C$5/24</f>
        <v>45290.190093637088</v>
      </c>
    </row>
    <row r="20" spans="1:31" s="26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7" t="s">
        <v>87</v>
      </c>
      <c r="I20" s="47" t="s">
        <v>90</v>
      </c>
      <c r="J20" s="47" t="s">
        <v>84</v>
      </c>
      <c r="K20" s="47" t="s">
        <v>82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8" t="s">
        <v>15</v>
      </c>
      <c r="R20" s="48"/>
      <c r="S20" s="77" t="s">
        <v>328</v>
      </c>
    </row>
    <row r="21" spans="1:31" s="26" customFormat="1" ht="12.95" customHeight="1" x14ac:dyDescent="0.2">
      <c r="A21" s="49" t="s">
        <v>322</v>
      </c>
      <c r="B21" s="50" t="s">
        <v>50</v>
      </c>
      <c r="C21" s="49">
        <v>46644.502999999997</v>
      </c>
      <c r="D21" s="49" t="s">
        <v>90</v>
      </c>
      <c r="E21" s="26">
        <f t="shared" ref="E21:E52" si="0">+(C21-C$7)/C$8</f>
        <v>-637.50479203534894</v>
      </c>
      <c r="F21" s="26">
        <f t="shared" ref="F21:F49" si="1">ROUND(2*E21,0)/2</f>
        <v>-637.5</v>
      </c>
      <c r="G21" s="26">
        <f t="shared" ref="G21:G52" si="2">+C21-(C$7+F21*C$8)</f>
        <v>-1.9800000009126961E-3</v>
      </c>
      <c r="J21" s="26">
        <f>+G21</f>
        <v>-1.9800000009126961E-3</v>
      </c>
      <c r="O21" s="26">
        <f ca="1">+C$11+C$12*F21</f>
        <v>-3.1284924189008752E-2</v>
      </c>
      <c r="Q21" s="51">
        <f t="shared" ref="Q21:Q52" si="3">+C21-15018.5</f>
        <v>31626.002999999997</v>
      </c>
    </row>
    <row r="22" spans="1:31" s="26" customFormat="1" ht="12.95" customHeight="1" x14ac:dyDescent="0.2">
      <c r="A22" s="49" t="s">
        <v>322</v>
      </c>
      <c r="B22" s="50" t="s">
        <v>50</v>
      </c>
      <c r="C22" s="49">
        <v>46649.462</v>
      </c>
      <c r="D22" s="49" t="s">
        <v>90</v>
      </c>
      <c r="E22" s="26">
        <f t="shared" si="0"/>
        <v>-625.50292168942553</v>
      </c>
      <c r="F22" s="26">
        <f t="shared" si="1"/>
        <v>-625.5</v>
      </c>
      <c r="G22" s="26">
        <f t="shared" si="2"/>
        <v>-1.207199995405972E-3</v>
      </c>
      <c r="J22" s="26">
        <f>+G22</f>
        <v>-1.207199995405972E-3</v>
      </c>
      <c r="O22" s="26">
        <f ca="1">+C$11+C$12*F22</f>
        <v>-3.1367377205781172E-2</v>
      </c>
      <c r="Q22" s="51">
        <f t="shared" si="3"/>
        <v>31630.962</v>
      </c>
    </row>
    <row r="23" spans="1:31" s="26" customFormat="1" ht="12.95" customHeight="1" x14ac:dyDescent="0.2">
      <c r="A23" s="26" t="s">
        <v>44</v>
      </c>
      <c r="B23" s="39"/>
      <c r="C23" s="52">
        <v>46907.910799999998</v>
      </c>
      <c r="D23" s="52" t="s">
        <v>14</v>
      </c>
      <c r="E23" s="26">
        <f t="shared" si="0"/>
        <v>0</v>
      </c>
      <c r="F23" s="26">
        <f t="shared" si="1"/>
        <v>0</v>
      </c>
      <c r="G23" s="26">
        <f t="shared" si="2"/>
        <v>0</v>
      </c>
      <c r="J23" s="26">
        <f>+G23</f>
        <v>0</v>
      </c>
      <c r="Q23" s="51">
        <f t="shared" si="3"/>
        <v>31889.410799999998</v>
      </c>
    </row>
    <row r="24" spans="1:31" s="26" customFormat="1" ht="12.95" customHeight="1" x14ac:dyDescent="0.2">
      <c r="A24" s="26" t="s">
        <v>29</v>
      </c>
      <c r="B24" s="39"/>
      <c r="C24" s="52">
        <v>46981.464</v>
      </c>
      <c r="D24" s="52"/>
      <c r="E24" s="26">
        <f t="shared" si="0"/>
        <v>178.01491629912104</v>
      </c>
      <c r="F24" s="26">
        <f t="shared" si="1"/>
        <v>178</v>
      </c>
      <c r="G24" s="26">
        <f t="shared" si="2"/>
        <v>6.1631999997189268E-3</v>
      </c>
      <c r="I24" s="26">
        <f t="shared" ref="I24:I47" si="4">+G24</f>
        <v>6.1631999997189268E-3</v>
      </c>
      <c r="Q24" s="51">
        <f t="shared" si="3"/>
        <v>31962.964</v>
      </c>
      <c r="AA24" s="26">
        <v>10</v>
      </c>
      <c r="AC24" s="26" t="s">
        <v>28</v>
      </c>
      <c r="AE24" s="26" t="s">
        <v>30</v>
      </c>
    </row>
    <row r="25" spans="1:31" s="26" customFormat="1" ht="12.95" customHeight="1" x14ac:dyDescent="0.2">
      <c r="A25" s="26" t="s">
        <v>29</v>
      </c>
      <c r="B25" s="39"/>
      <c r="C25" s="52">
        <v>46991.37</v>
      </c>
      <c r="D25" s="52"/>
      <c r="E25" s="26">
        <f t="shared" si="0"/>
        <v>201.98961435249629</v>
      </c>
      <c r="F25" s="26">
        <f t="shared" si="1"/>
        <v>202</v>
      </c>
      <c r="G25" s="26">
        <f t="shared" si="2"/>
        <v>-4.2911999917123467E-3</v>
      </c>
      <c r="I25" s="26">
        <f t="shared" si="4"/>
        <v>-4.2911999917123467E-3</v>
      </c>
      <c r="Q25" s="51">
        <f t="shared" si="3"/>
        <v>31972.870000000003</v>
      </c>
      <c r="AA25" s="26">
        <v>13</v>
      </c>
      <c r="AC25" s="26" t="s">
        <v>28</v>
      </c>
      <c r="AE25" s="26" t="s">
        <v>30</v>
      </c>
    </row>
    <row r="26" spans="1:31" s="26" customFormat="1" ht="12.95" customHeight="1" x14ac:dyDescent="0.2">
      <c r="A26" s="26" t="s">
        <v>31</v>
      </c>
      <c r="B26" s="39"/>
      <c r="C26" s="52">
        <v>46992.408000000003</v>
      </c>
      <c r="D26" s="52"/>
      <c r="E26" s="26">
        <f t="shared" si="0"/>
        <v>204.50180257977348</v>
      </c>
      <c r="F26" s="26">
        <f t="shared" si="1"/>
        <v>204.5</v>
      </c>
      <c r="G26" s="26">
        <f t="shared" si="2"/>
        <v>7.4480000330368057E-4</v>
      </c>
      <c r="I26" s="26">
        <f t="shared" si="4"/>
        <v>7.4480000330368057E-4</v>
      </c>
      <c r="Q26" s="51">
        <f t="shared" si="3"/>
        <v>31973.908000000003</v>
      </c>
      <c r="AA26" s="26">
        <v>14</v>
      </c>
      <c r="AC26" s="26" t="s">
        <v>28</v>
      </c>
      <c r="AE26" s="26" t="s">
        <v>30</v>
      </c>
    </row>
    <row r="27" spans="1:31" s="26" customFormat="1" ht="12.95" customHeight="1" x14ac:dyDescent="0.2">
      <c r="A27" s="26" t="s">
        <v>29</v>
      </c>
      <c r="B27" s="39"/>
      <c r="C27" s="52">
        <v>46994.472999999998</v>
      </c>
      <c r="D27" s="52"/>
      <c r="E27" s="26">
        <f t="shared" si="0"/>
        <v>209.49955661572017</v>
      </c>
      <c r="F27" s="26">
        <f t="shared" si="1"/>
        <v>209.5</v>
      </c>
      <c r="G27" s="26">
        <f t="shared" si="2"/>
        <v>-1.8319999799132347E-4</v>
      </c>
      <c r="I27" s="26">
        <f t="shared" si="4"/>
        <v>-1.8319999799132347E-4</v>
      </c>
      <c r="Q27" s="51">
        <f t="shared" si="3"/>
        <v>31975.972999999998</v>
      </c>
      <c r="AA27" s="26">
        <v>13</v>
      </c>
      <c r="AC27" s="26" t="s">
        <v>28</v>
      </c>
      <c r="AE27" s="26" t="s">
        <v>30</v>
      </c>
    </row>
    <row r="28" spans="1:31" s="26" customFormat="1" ht="12.95" customHeight="1" x14ac:dyDescent="0.2">
      <c r="A28" s="26" t="s">
        <v>29</v>
      </c>
      <c r="B28" s="53" t="s">
        <v>43</v>
      </c>
      <c r="C28" s="52">
        <v>46996.332000000002</v>
      </c>
      <c r="D28" s="52"/>
      <c r="E28" s="26">
        <f t="shared" si="0"/>
        <v>213.99874535802874</v>
      </c>
      <c r="F28" s="26">
        <f t="shared" si="1"/>
        <v>214</v>
      </c>
      <c r="G28" s="26">
        <f t="shared" si="2"/>
        <v>-5.1839999650837854E-4</v>
      </c>
      <c r="I28" s="26">
        <f t="shared" si="4"/>
        <v>-5.1839999650837854E-4</v>
      </c>
      <c r="Q28" s="51">
        <f t="shared" si="3"/>
        <v>31977.832000000002</v>
      </c>
      <c r="AA28" s="26">
        <v>10</v>
      </c>
      <c r="AC28" s="26" t="s">
        <v>28</v>
      </c>
      <c r="AE28" s="26" t="s">
        <v>30</v>
      </c>
    </row>
    <row r="29" spans="1:31" s="26" customFormat="1" ht="12.95" customHeight="1" x14ac:dyDescent="0.2">
      <c r="A29" s="26" t="s">
        <v>33</v>
      </c>
      <c r="B29" s="39"/>
      <c r="C29" s="52">
        <v>47002.468000000001</v>
      </c>
      <c r="D29" s="52"/>
      <c r="E29" s="26">
        <f t="shared" si="0"/>
        <v>228.84921449344537</v>
      </c>
      <c r="F29" s="26">
        <f t="shared" si="1"/>
        <v>229</v>
      </c>
      <c r="G29" s="26">
        <f t="shared" si="2"/>
        <v>-6.2302399994223379E-2</v>
      </c>
      <c r="I29" s="26">
        <f t="shared" si="4"/>
        <v>-6.2302399994223379E-2</v>
      </c>
      <c r="Q29" s="51">
        <f t="shared" si="3"/>
        <v>31983.968000000001</v>
      </c>
      <c r="AA29" s="26">
        <v>11</v>
      </c>
      <c r="AC29" s="26" t="s">
        <v>32</v>
      </c>
      <c r="AE29" s="26" t="s">
        <v>30</v>
      </c>
    </row>
    <row r="30" spans="1:31" s="26" customFormat="1" ht="12.95" customHeight="1" x14ac:dyDescent="0.2">
      <c r="A30" s="26" t="s">
        <v>29</v>
      </c>
      <c r="B30" s="39"/>
      <c r="C30" s="52">
        <v>47002.514000000003</v>
      </c>
      <c r="D30" s="52"/>
      <c r="E30" s="26">
        <f t="shared" si="0"/>
        <v>228.96054460756866</v>
      </c>
      <c r="F30" s="26">
        <f t="shared" si="1"/>
        <v>229</v>
      </c>
      <c r="G30" s="26">
        <f t="shared" si="2"/>
        <v>-1.6302399992127903E-2</v>
      </c>
      <c r="I30" s="26">
        <f t="shared" si="4"/>
        <v>-1.6302399992127903E-2</v>
      </c>
      <c r="Q30" s="51">
        <f t="shared" si="3"/>
        <v>31984.014000000003</v>
      </c>
      <c r="AA30" s="26">
        <v>14</v>
      </c>
      <c r="AC30" s="26" t="s">
        <v>28</v>
      </c>
      <c r="AE30" s="26" t="s">
        <v>30</v>
      </c>
    </row>
    <row r="31" spans="1:31" s="26" customFormat="1" ht="12.95" customHeight="1" x14ac:dyDescent="0.2">
      <c r="A31" s="26" t="s">
        <v>31</v>
      </c>
      <c r="B31" s="39"/>
      <c r="C31" s="52">
        <v>47011.415000000001</v>
      </c>
      <c r="D31" s="52"/>
      <c r="E31" s="26">
        <f t="shared" si="0"/>
        <v>250.50292168943702</v>
      </c>
      <c r="F31" s="26">
        <f t="shared" si="1"/>
        <v>250.5</v>
      </c>
      <c r="G31" s="26">
        <f t="shared" si="2"/>
        <v>1.2072000026819296E-3</v>
      </c>
      <c r="I31" s="26">
        <f t="shared" si="4"/>
        <v>1.2072000026819296E-3</v>
      </c>
      <c r="Q31" s="51">
        <f t="shared" si="3"/>
        <v>31992.915000000001</v>
      </c>
      <c r="AA31" s="26">
        <v>18</v>
      </c>
      <c r="AC31" s="26" t="s">
        <v>28</v>
      </c>
      <c r="AE31" s="26" t="s">
        <v>30</v>
      </c>
    </row>
    <row r="32" spans="1:31" s="26" customFormat="1" ht="12.95" customHeight="1" x14ac:dyDescent="0.2">
      <c r="A32" s="26" t="s">
        <v>31</v>
      </c>
      <c r="B32" s="39"/>
      <c r="C32" s="52">
        <v>47012.442000000003</v>
      </c>
      <c r="D32" s="52"/>
      <c r="E32" s="26">
        <f t="shared" si="0"/>
        <v>252.9884874981241</v>
      </c>
      <c r="F32" s="26">
        <f t="shared" si="1"/>
        <v>253</v>
      </c>
      <c r="G32" s="26">
        <f t="shared" si="2"/>
        <v>-4.7567999936291017E-3</v>
      </c>
      <c r="I32" s="26">
        <f t="shared" si="4"/>
        <v>-4.7567999936291017E-3</v>
      </c>
      <c r="Q32" s="51">
        <f t="shared" si="3"/>
        <v>31993.942000000003</v>
      </c>
      <c r="AA32" s="26">
        <v>17</v>
      </c>
      <c r="AC32" s="26" t="s">
        <v>28</v>
      </c>
      <c r="AE32" s="26" t="s">
        <v>30</v>
      </c>
    </row>
    <row r="33" spans="1:31" s="26" customFormat="1" ht="12.95" customHeight="1" x14ac:dyDescent="0.2">
      <c r="A33" s="26" t="s">
        <v>31</v>
      </c>
      <c r="B33" s="39"/>
      <c r="C33" s="52">
        <v>47024.423999999999</v>
      </c>
      <c r="D33" s="52"/>
      <c r="E33" s="26">
        <f t="shared" si="0"/>
        <v>281.98756200603611</v>
      </c>
      <c r="F33" s="26">
        <f t="shared" si="1"/>
        <v>282</v>
      </c>
      <c r="G33" s="26">
        <f t="shared" si="2"/>
        <v>-5.1392000023042783E-3</v>
      </c>
      <c r="I33" s="26">
        <f t="shared" si="4"/>
        <v>-5.1392000023042783E-3</v>
      </c>
      <c r="Q33" s="51">
        <f t="shared" si="3"/>
        <v>32005.923999999999</v>
      </c>
      <c r="AA33" s="26">
        <v>16</v>
      </c>
      <c r="AC33" s="26" t="s">
        <v>28</v>
      </c>
      <c r="AE33" s="26" t="s">
        <v>30</v>
      </c>
    </row>
    <row r="34" spans="1:31" s="26" customFormat="1" ht="12.95" customHeight="1" x14ac:dyDescent="0.2">
      <c r="A34" s="26" t="s">
        <v>31</v>
      </c>
      <c r="B34" s="39"/>
      <c r="C34" s="52">
        <v>47035.383000000002</v>
      </c>
      <c r="D34" s="52"/>
      <c r="E34" s="26">
        <f t="shared" si="0"/>
        <v>308.5107515847692</v>
      </c>
      <c r="F34" s="26">
        <f t="shared" si="1"/>
        <v>308.5</v>
      </c>
      <c r="G34" s="26">
        <f t="shared" si="2"/>
        <v>4.4424000006983988E-3</v>
      </c>
      <c r="I34" s="26">
        <f t="shared" si="4"/>
        <v>4.4424000006983988E-3</v>
      </c>
      <c r="Q34" s="51">
        <f t="shared" si="3"/>
        <v>32016.883000000002</v>
      </c>
      <c r="AA34" s="26">
        <v>17</v>
      </c>
      <c r="AC34" s="26" t="s">
        <v>28</v>
      </c>
      <c r="AE34" s="26" t="s">
        <v>30</v>
      </c>
    </row>
    <row r="35" spans="1:31" s="26" customFormat="1" ht="12.95" customHeight="1" x14ac:dyDescent="0.2">
      <c r="A35" s="26" t="s">
        <v>31</v>
      </c>
      <c r="B35" s="39"/>
      <c r="C35" s="52">
        <v>47078.356299999999</v>
      </c>
      <c r="D35" s="52"/>
      <c r="E35" s="26">
        <f t="shared" si="0"/>
        <v>412.51558621598053</v>
      </c>
      <c r="F35" s="26">
        <f t="shared" si="1"/>
        <v>412.5</v>
      </c>
      <c r="G35" s="26">
        <f t="shared" si="2"/>
        <v>6.4400000046589412E-3</v>
      </c>
      <c r="I35" s="26">
        <f t="shared" si="4"/>
        <v>6.4400000046589412E-3</v>
      </c>
      <c r="Q35" s="51">
        <f t="shared" si="3"/>
        <v>32059.856299999999</v>
      </c>
      <c r="AA35" s="26">
        <v>4</v>
      </c>
      <c r="AC35" s="26" t="s">
        <v>34</v>
      </c>
      <c r="AE35" s="26" t="s">
        <v>30</v>
      </c>
    </row>
    <row r="36" spans="1:31" s="26" customFormat="1" ht="12.95" customHeight="1" x14ac:dyDescent="0.2">
      <c r="A36" s="26" t="s">
        <v>36</v>
      </c>
      <c r="B36" s="39" t="s">
        <v>43</v>
      </c>
      <c r="C36" s="52">
        <v>47361.377999999997</v>
      </c>
      <c r="D36" s="52">
        <v>2E-3</v>
      </c>
      <c r="E36" s="26">
        <f t="shared" si="0"/>
        <v>1097.4903288013888</v>
      </c>
      <c r="F36" s="26">
        <f t="shared" si="1"/>
        <v>1097.5</v>
      </c>
      <c r="G36" s="26">
        <f t="shared" si="2"/>
        <v>-3.9959999994607642E-3</v>
      </c>
      <c r="I36" s="26">
        <f t="shared" si="4"/>
        <v>-3.9959999994607642E-3</v>
      </c>
      <c r="Q36" s="51">
        <f t="shared" si="3"/>
        <v>32342.877999999997</v>
      </c>
      <c r="AA36" s="26">
        <v>17</v>
      </c>
      <c r="AC36" s="26" t="s">
        <v>35</v>
      </c>
      <c r="AE36" s="26" t="s">
        <v>30</v>
      </c>
    </row>
    <row r="37" spans="1:31" s="26" customFormat="1" ht="12.95" customHeight="1" x14ac:dyDescent="0.2">
      <c r="A37" s="26" t="s">
        <v>36</v>
      </c>
      <c r="B37" s="39"/>
      <c r="C37" s="52">
        <v>47362.385999999999</v>
      </c>
      <c r="D37" s="52">
        <v>4.0000000000000001E-3</v>
      </c>
      <c r="E37" s="26">
        <f t="shared" si="0"/>
        <v>1099.9299104325048</v>
      </c>
      <c r="F37" s="26">
        <f t="shared" si="1"/>
        <v>1100</v>
      </c>
      <c r="G37" s="26">
        <f t="shared" si="2"/>
        <v>-2.8959999996004626E-2</v>
      </c>
      <c r="I37" s="26">
        <f t="shared" si="4"/>
        <v>-2.8959999996004626E-2</v>
      </c>
      <c r="Q37" s="51">
        <f t="shared" si="3"/>
        <v>32343.885999999999</v>
      </c>
      <c r="AA37" s="26">
        <v>19</v>
      </c>
      <c r="AC37" s="26" t="s">
        <v>35</v>
      </c>
      <c r="AE37" s="26" t="s">
        <v>30</v>
      </c>
    </row>
    <row r="38" spans="1:31" s="26" customFormat="1" ht="12.95" customHeight="1" x14ac:dyDescent="0.2">
      <c r="A38" s="26" t="s">
        <v>36</v>
      </c>
      <c r="B38" s="39" t="s">
        <v>43</v>
      </c>
      <c r="C38" s="52">
        <v>47363.451999999997</v>
      </c>
      <c r="D38" s="52">
        <v>5.0000000000000001E-3</v>
      </c>
      <c r="E38" s="26">
        <f t="shared" si="0"/>
        <v>1102.5098648161979</v>
      </c>
      <c r="F38" s="26">
        <f t="shared" si="1"/>
        <v>1102.5</v>
      </c>
      <c r="G38" s="26">
        <f t="shared" si="2"/>
        <v>4.0759999974397942E-3</v>
      </c>
      <c r="I38" s="26">
        <f t="shared" si="4"/>
        <v>4.0759999974397942E-3</v>
      </c>
      <c r="Q38" s="51">
        <f t="shared" si="3"/>
        <v>32344.951999999997</v>
      </c>
      <c r="AA38" s="26">
        <v>22</v>
      </c>
      <c r="AC38" s="26" t="s">
        <v>35</v>
      </c>
      <c r="AE38" s="26" t="s">
        <v>30</v>
      </c>
    </row>
    <row r="39" spans="1:31" s="26" customFormat="1" ht="12.95" customHeight="1" x14ac:dyDescent="0.2">
      <c r="A39" s="26" t="s">
        <v>38</v>
      </c>
      <c r="B39" s="39"/>
      <c r="C39" s="52">
        <v>48749.462</v>
      </c>
      <c r="D39" s="52"/>
      <c r="E39" s="26">
        <f t="shared" si="0"/>
        <v>4456.9588097939568</v>
      </c>
      <c r="F39" s="26">
        <f t="shared" si="1"/>
        <v>4457</v>
      </c>
      <c r="G39" s="26">
        <f t="shared" si="2"/>
        <v>-1.7019200000504497E-2</v>
      </c>
      <c r="I39" s="26">
        <f t="shared" si="4"/>
        <v>-1.7019200000504497E-2</v>
      </c>
      <c r="O39" s="26">
        <f t="shared" ref="O39:O70" ca="1" si="5">+C$11+C$12*F39</f>
        <v>-6.6289665351266139E-2</v>
      </c>
      <c r="Q39" s="51">
        <f t="shared" si="3"/>
        <v>33730.962</v>
      </c>
      <c r="AA39" s="26">
        <v>16</v>
      </c>
      <c r="AC39" s="26" t="s">
        <v>37</v>
      </c>
      <c r="AE39" s="26" t="s">
        <v>30</v>
      </c>
    </row>
    <row r="40" spans="1:31" s="26" customFormat="1" ht="12.95" customHeight="1" x14ac:dyDescent="0.2">
      <c r="A40" s="26" t="s">
        <v>39</v>
      </c>
      <c r="B40" s="39" t="s">
        <v>43</v>
      </c>
      <c r="C40" s="52">
        <v>49198.383999999998</v>
      </c>
      <c r="D40" s="52">
        <v>2.5000000000000001E-3</v>
      </c>
      <c r="E40" s="26">
        <f t="shared" si="0"/>
        <v>5543.4487552325163</v>
      </c>
      <c r="F40" s="26">
        <f t="shared" si="1"/>
        <v>5543.5</v>
      </c>
      <c r="G40" s="26">
        <f t="shared" si="2"/>
        <v>-2.1173599998292048E-2</v>
      </c>
      <c r="I40" s="26">
        <f t="shared" si="4"/>
        <v>-2.1173599998292048E-2</v>
      </c>
      <c r="O40" s="26">
        <f t="shared" ca="1" si="5"/>
        <v>-7.3755098911535574E-2</v>
      </c>
      <c r="Q40" s="51">
        <f t="shared" si="3"/>
        <v>34179.883999999998</v>
      </c>
      <c r="AA40" s="26">
        <v>14</v>
      </c>
      <c r="AC40" s="26" t="s">
        <v>34</v>
      </c>
      <c r="AE40" s="26" t="s">
        <v>30</v>
      </c>
    </row>
    <row r="41" spans="1:31" s="26" customFormat="1" ht="12.95" customHeight="1" x14ac:dyDescent="0.2">
      <c r="A41" s="49" t="s">
        <v>131</v>
      </c>
      <c r="B41" s="50" t="s">
        <v>50</v>
      </c>
      <c r="C41" s="49">
        <v>49219.474999999999</v>
      </c>
      <c r="D41" s="49" t="s">
        <v>90</v>
      </c>
      <c r="E41" s="26">
        <f t="shared" si="0"/>
        <v>5594.4936125557151</v>
      </c>
      <c r="F41" s="26">
        <f t="shared" si="1"/>
        <v>5594.5</v>
      </c>
      <c r="G41" s="26">
        <f t="shared" si="2"/>
        <v>-2.6391999999759719E-3</v>
      </c>
      <c r="I41" s="26">
        <f t="shared" si="4"/>
        <v>-2.6391999999759719E-3</v>
      </c>
      <c r="O41" s="26">
        <f t="shared" ca="1" si="5"/>
        <v>-7.4105524232818354E-2</v>
      </c>
      <c r="Q41" s="51">
        <f t="shared" si="3"/>
        <v>34200.974999999999</v>
      </c>
    </row>
    <row r="42" spans="1:31" s="26" customFormat="1" ht="12.95" customHeight="1" x14ac:dyDescent="0.2">
      <c r="A42" s="26" t="s">
        <v>40</v>
      </c>
      <c r="B42" s="39" t="s">
        <v>43</v>
      </c>
      <c r="C42" s="52">
        <v>49219.478000000003</v>
      </c>
      <c r="D42" s="52"/>
      <c r="E42" s="26">
        <f t="shared" si="0"/>
        <v>5594.5008732153419</v>
      </c>
      <c r="F42" s="26">
        <f t="shared" si="1"/>
        <v>5594.5</v>
      </c>
      <c r="G42" s="26">
        <f t="shared" si="2"/>
        <v>3.6080000427318737E-4</v>
      </c>
      <c r="I42" s="26">
        <f t="shared" si="4"/>
        <v>3.6080000427318737E-4</v>
      </c>
      <c r="O42" s="26">
        <f t="shared" ca="1" si="5"/>
        <v>-7.4105524232818354E-2</v>
      </c>
      <c r="Q42" s="51">
        <f t="shared" si="3"/>
        <v>34200.978000000003</v>
      </c>
      <c r="AA42" s="26">
        <v>13</v>
      </c>
      <c r="AC42" s="26" t="s">
        <v>35</v>
      </c>
      <c r="AE42" s="26" t="s">
        <v>30</v>
      </c>
    </row>
    <row r="43" spans="1:31" s="26" customFormat="1" ht="12.95" customHeight="1" x14ac:dyDescent="0.2">
      <c r="A43" s="26" t="s">
        <v>36</v>
      </c>
      <c r="B43" s="39"/>
      <c r="C43" s="52">
        <v>49568.404999999999</v>
      </c>
      <c r="D43" s="52">
        <v>0.01</v>
      </c>
      <c r="E43" s="26">
        <f t="shared" si="0"/>
        <v>6438.9809325397619</v>
      </c>
      <c r="F43" s="26">
        <f t="shared" si="1"/>
        <v>6439</v>
      </c>
      <c r="G43" s="26">
        <f t="shared" si="2"/>
        <v>-7.8783999997540377E-3</v>
      </c>
      <c r="I43" s="26">
        <f t="shared" si="4"/>
        <v>-7.8783999997540377E-3</v>
      </c>
      <c r="O43" s="26">
        <f t="shared" ca="1" si="5"/>
        <v>-7.9908155288177352E-2</v>
      </c>
      <c r="Q43" s="51">
        <f t="shared" si="3"/>
        <v>34549.904999999999</v>
      </c>
      <c r="AA43" s="26">
        <v>16</v>
      </c>
      <c r="AC43" s="26" t="s">
        <v>35</v>
      </c>
      <c r="AE43" s="26" t="s">
        <v>30</v>
      </c>
    </row>
    <row r="44" spans="1:31" s="26" customFormat="1" ht="12.95" customHeight="1" x14ac:dyDescent="0.2">
      <c r="A44" s="26" t="s">
        <v>36</v>
      </c>
      <c r="B44" s="39" t="s">
        <v>43</v>
      </c>
      <c r="C44" s="52">
        <v>49569.417000000001</v>
      </c>
      <c r="D44" s="52">
        <v>8.0000000000000002E-3</v>
      </c>
      <c r="E44" s="26">
        <f t="shared" si="0"/>
        <v>6441.4301950503686</v>
      </c>
      <c r="F44" s="26">
        <f t="shared" si="1"/>
        <v>6441.5</v>
      </c>
      <c r="G44" s="26">
        <f t="shared" si="2"/>
        <v>-2.8842399995482992E-2</v>
      </c>
      <c r="I44" s="26">
        <f t="shared" si="4"/>
        <v>-2.8842399995482992E-2</v>
      </c>
      <c r="O44" s="26">
        <f t="shared" ca="1" si="5"/>
        <v>-7.9925333000004928E-2</v>
      </c>
      <c r="Q44" s="51">
        <f t="shared" si="3"/>
        <v>34550.917000000001</v>
      </c>
      <c r="AA44" s="26">
        <v>17</v>
      </c>
      <c r="AC44" s="26" t="s">
        <v>35</v>
      </c>
      <c r="AE44" s="26" t="s">
        <v>30</v>
      </c>
    </row>
    <row r="45" spans="1:31" s="26" customFormat="1" ht="12.95" customHeight="1" x14ac:dyDescent="0.2">
      <c r="A45" s="26" t="s">
        <v>42</v>
      </c>
      <c r="B45" s="39"/>
      <c r="C45" s="52">
        <v>49877.438999999998</v>
      </c>
      <c r="D45" s="52">
        <v>2E-3</v>
      </c>
      <c r="E45" s="26">
        <f t="shared" si="0"/>
        <v>7186.9111605051112</v>
      </c>
      <c r="F45" s="26">
        <f t="shared" si="1"/>
        <v>7187</v>
      </c>
      <c r="G45" s="26">
        <f t="shared" si="2"/>
        <v>-3.6707200000819284E-2</v>
      </c>
      <c r="I45" s="26">
        <f t="shared" si="4"/>
        <v>-3.6707200000819284E-2</v>
      </c>
      <c r="O45" s="26">
        <f t="shared" ca="1" si="5"/>
        <v>-8.5047726666991452E-2</v>
      </c>
      <c r="Q45" s="51">
        <f t="shared" si="3"/>
        <v>34858.938999999998</v>
      </c>
      <c r="AA45" s="26">
        <v>7</v>
      </c>
      <c r="AC45" s="26" t="s">
        <v>41</v>
      </c>
      <c r="AE45" s="26" t="s">
        <v>30</v>
      </c>
    </row>
    <row r="46" spans="1:31" s="26" customFormat="1" ht="12.95" customHeight="1" x14ac:dyDescent="0.2">
      <c r="A46" s="26" t="s">
        <v>42</v>
      </c>
      <c r="B46" s="39"/>
      <c r="C46" s="52">
        <v>49896.449000000001</v>
      </c>
      <c r="D46" s="52">
        <v>8.9999999999999993E-3</v>
      </c>
      <c r="E46" s="26">
        <f t="shared" si="0"/>
        <v>7232.9195402744017</v>
      </c>
      <c r="F46" s="26">
        <f t="shared" si="1"/>
        <v>7233</v>
      </c>
      <c r="G46" s="26">
        <f t="shared" si="2"/>
        <v>-3.3244799997191876E-2</v>
      </c>
      <c r="I46" s="26">
        <f t="shared" si="4"/>
        <v>-3.3244799997191876E-2</v>
      </c>
      <c r="O46" s="26">
        <f t="shared" ca="1" si="5"/>
        <v>-8.5363796564619066E-2</v>
      </c>
      <c r="Q46" s="51">
        <f t="shared" si="3"/>
        <v>34877.949000000001</v>
      </c>
      <c r="AA46" s="26">
        <v>12</v>
      </c>
      <c r="AC46" s="26" t="s">
        <v>41</v>
      </c>
      <c r="AE46" s="26" t="s">
        <v>30</v>
      </c>
    </row>
    <row r="47" spans="1:31" s="26" customFormat="1" ht="12.95" customHeight="1" x14ac:dyDescent="0.2">
      <c r="A47" s="6" t="s">
        <v>42</v>
      </c>
      <c r="B47" s="5" t="s">
        <v>43</v>
      </c>
      <c r="C47" s="4">
        <v>49897.478000000003</v>
      </c>
      <c r="D47" s="4">
        <v>4.0000000000000001E-3</v>
      </c>
      <c r="E47" s="26">
        <f t="shared" si="0"/>
        <v>7235.4099465228337</v>
      </c>
      <c r="F47" s="26">
        <f t="shared" si="1"/>
        <v>7235.5</v>
      </c>
      <c r="G47" s="26">
        <f t="shared" si="2"/>
        <v>-3.7208799993095454E-2</v>
      </c>
      <c r="I47" s="26">
        <f t="shared" si="4"/>
        <v>-3.7208799993095454E-2</v>
      </c>
      <c r="O47" s="26">
        <f t="shared" ca="1" si="5"/>
        <v>-8.5380974276446656E-2</v>
      </c>
      <c r="Q47" s="51">
        <f t="shared" si="3"/>
        <v>34878.978000000003</v>
      </c>
      <c r="AA47" s="26">
        <v>12</v>
      </c>
      <c r="AC47" s="26" t="s">
        <v>41</v>
      </c>
      <c r="AE47" s="26" t="s">
        <v>30</v>
      </c>
    </row>
    <row r="48" spans="1:31" s="26" customFormat="1" ht="12.95" customHeight="1" x14ac:dyDescent="0.2">
      <c r="A48" s="4" t="s">
        <v>60</v>
      </c>
      <c r="B48" s="5" t="s">
        <v>43</v>
      </c>
      <c r="C48" s="4">
        <v>51275.834499999997</v>
      </c>
      <c r="D48" s="4">
        <v>1.6000000000000001E-3</v>
      </c>
      <c r="E48" s="26">
        <f t="shared" si="0"/>
        <v>10571.335738709189</v>
      </c>
      <c r="F48" s="26">
        <f t="shared" si="1"/>
        <v>10571.5</v>
      </c>
      <c r="G48" s="26">
        <f t="shared" si="2"/>
        <v>-6.7870400001993403E-2</v>
      </c>
      <c r="K48" s="26">
        <f t="shared" ref="K48:K54" si="6">+G48</f>
        <v>-6.7870400001993403E-2</v>
      </c>
      <c r="O48" s="26">
        <f t="shared" ca="1" si="5"/>
        <v>-0.10830291293917914</v>
      </c>
      <c r="Q48" s="51">
        <f t="shared" si="3"/>
        <v>36257.334499999997</v>
      </c>
    </row>
    <row r="49" spans="1:21" s="26" customFormat="1" ht="12.95" customHeight="1" x14ac:dyDescent="0.2">
      <c r="A49" s="4" t="s">
        <v>60</v>
      </c>
      <c r="B49" s="5" t="s">
        <v>50</v>
      </c>
      <c r="C49" s="4">
        <v>51288.846599999997</v>
      </c>
      <c r="D49" s="4">
        <v>6.9999999999999999E-4</v>
      </c>
      <c r="E49" s="26">
        <f t="shared" si="0"/>
        <v>10602.827881707395</v>
      </c>
      <c r="F49" s="26">
        <f t="shared" si="1"/>
        <v>10603</v>
      </c>
      <c r="G49" s="26">
        <f t="shared" si="2"/>
        <v>-7.1116799997980706E-2</v>
      </c>
      <c r="K49" s="26">
        <f t="shared" si="6"/>
        <v>-7.1116799997980706E-2</v>
      </c>
      <c r="O49" s="26">
        <f t="shared" ca="1" si="5"/>
        <v>-0.10851935210820673</v>
      </c>
      <c r="Q49" s="51">
        <f t="shared" si="3"/>
        <v>36270.346599999997</v>
      </c>
    </row>
    <row r="50" spans="1:21" s="26" customFormat="1" ht="12.95" customHeight="1" x14ac:dyDescent="0.2">
      <c r="A50" s="6" t="s">
        <v>49</v>
      </c>
      <c r="B50" s="7" t="s">
        <v>50</v>
      </c>
      <c r="C50" s="8">
        <v>53638.572899999999</v>
      </c>
      <c r="D50" s="8">
        <v>1E-4</v>
      </c>
      <c r="E50" s="26">
        <f t="shared" si="0"/>
        <v>16289.682167045516</v>
      </c>
      <c r="F50" s="54">
        <f t="shared" ref="F50:F81" si="7">ROUND(2*E50,0)/2+0.5</f>
        <v>16290</v>
      </c>
      <c r="G50" s="26">
        <f t="shared" si="2"/>
        <v>-0.13132400000176858</v>
      </c>
      <c r="K50" s="26">
        <f t="shared" si="6"/>
        <v>-0.13132400000176858</v>
      </c>
      <c r="O50" s="26">
        <f t="shared" ca="1" si="5"/>
        <v>-0.14759521097360231</v>
      </c>
      <c r="Q50" s="51">
        <f t="shared" si="3"/>
        <v>38620.072899999999</v>
      </c>
    </row>
    <row r="51" spans="1:21" s="26" customFormat="1" ht="12.95" customHeight="1" x14ac:dyDescent="0.2">
      <c r="A51" s="55" t="s">
        <v>51</v>
      </c>
      <c r="B51" s="5"/>
      <c r="C51" s="4">
        <v>53806.941599999998</v>
      </c>
      <c r="D51" s="4">
        <v>2.0000000000000001E-4</v>
      </c>
      <c r="E51" s="26">
        <f t="shared" si="0"/>
        <v>16697.171440631038</v>
      </c>
      <c r="F51" s="54">
        <f t="shared" si="7"/>
        <v>16697.5</v>
      </c>
      <c r="G51" s="26">
        <f t="shared" si="2"/>
        <v>-0.13575599999603583</v>
      </c>
      <c r="K51" s="26">
        <f t="shared" si="6"/>
        <v>-0.13575599999603583</v>
      </c>
      <c r="O51" s="26">
        <f t="shared" ca="1" si="5"/>
        <v>-0.15039517800149904</v>
      </c>
      <c r="Q51" s="51">
        <f t="shared" si="3"/>
        <v>38788.441599999998</v>
      </c>
    </row>
    <row r="52" spans="1:21" s="26" customFormat="1" ht="12.95" customHeight="1" x14ac:dyDescent="0.2">
      <c r="A52" s="4" t="s">
        <v>58</v>
      </c>
      <c r="B52" s="7" t="s">
        <v>50</v>
      </c>
      <c r="C52" s="8">
        <v>53924.4905</v>
      </c>
      <c r="D52" s="8">
        <v>2.9999999999999997E-4</v>
      </c>
      <c r="E52" s="26">
        <f t="shared" si="0"/>
        <v>16981.665624358648</v>
      </c>
      <c r="F52" s="54">
        <f t="shared" si="7"/>
        <v>16982</v>
      </c>
      <c r="G52" s="26">
        <f t="shared" si="2"/>
        <v>-0.13815919999615289</v>
      </c>
      <c r="K52" s="26">
        <f t="shared" si="6"/>
        <v>-0.13815919999615289</v>
      </c>
      <c r="O52" s="26">
        <f t="shared" ca="1" si="5"/>
        <v>-0.15235000160747847</v>
      </c>
      <c r="Q52" s="51">
        <f t="shared" si="3"/>
        <v>38905.9905</v>
      </c>
    </row>
    <row r="53" spans="1:21" s="26" customFormat="1" ht="12.95" customHeight="1" x14ac:dyDescent="0.2">
      <c r="A53" s="55" t="s">
        <v>64</v>
      </c>
      <c r="B53" s="6"/>
      <c r="C53" s="4">
        <v>54220.942999999999</v>
      </c>
      <c r="D53" s="4">
        <v>2.0000000000000001E-4</v>
      </c>
      <c r="E53" s="26">
        <f t="shared" ref="E53:E84" si="8">+(C53-C$7)/C$8</f>
        <v>17699.145856002731</v>
      </c>
      <c r="F53" s="54">
        <f t="shared" si="7"/>
        <v>17699.5</v>
      </c>
      <c r="G53" s="26">
        <f t="shared" ref="G53:G84" si="9">+C53-(C$7+F53*C$8)</f>
        <v>-0.14632719999644905</v>
      </c>
      <c r="K53" s="26">
        <f t="shared" si="6"/>
        <v>-0.14632719999644905</v>
      </c>
      <c r="O53" s="26">
        <f t="shared" ca="1" si="5"/>
        <v>-0.15728000490199601</v>
      </c>
      <c r="Q53" s="51">
        <f t="shared" ref="Q53:Q84" si="10">+C53-15018.5</f>
        <v>39202.442999999999</v>
      </c>
    </row>
    <row r="54" spans="1:21" s="26" customFormat="1" ht="12.95" customHeight="1" x14ac:dyDescent="0.2">
      <c r="A54" s="6" t="s">
        <v>76</v>
      </c>
      <c r="B54" s="5" t="s">
        <v>43</v>
      </c>
      <c r="C54" s="4">
        <v>54299.445899999999</v>
      </c>
      <c r="D54" s="4"/>
      <c r="E54" s="26">
        <f t="shared" si="8"/>
        <v>17889.140134602952</v>
      </c>
      <c r="F54" s="54">
        <f t="shared" si="7"/>
        <v>17889.5</v>
      </c>
      <c r="G54" s="26">
        <f t="shared" si="9"/>
        <v>-0.14869119999639224</v>
      </c>
      <c r="K54" s="26">
        <f t="shared" si="6"/>
        <v>-0.14869119999639224</v>
      </c>
      <c r="O54" s="26">
        <f t="shared" ca="1" si="5"/>
        <v>-0.15858551100089266</v>
      </c>
      <c r="Q54" s="51">
        <f t="shared" si="10"/>
        <v>39280.945899999999</v>
      </c>
      <c r="U54" s="26" t="s">
        <v>77</v>
      </c>
    </row>
    <row r="55" spans="1:21" s="26" customFormat="1" ht="12.95" customHeight="1" x14ac:dyDescent="0.2">
      <c r="A55" s="56" t="s">
        <v>78</v>
      </c>
      <c r="B55" s="57" t="s">
        <v>50</v>
      </c>
      <c r="C55" s="58">
        <v>54299.445899999999</v>
      </c>
      <c r="D55" s="59">
        <v>1E-4</v>
      </c>
      <c r="E55" s="26">
        <f t="shared" si="8"/>
        <v>17889.140134602952</v>
      </c>
      <c r="F55" s="54">
        <f t="shared" si="7"/>
        <v>17889.5</v>
      </c>
      <c r="G55" s="26">
        <f t="shared" si="9"/>
        <v>-0.14869119999639224</v>
      </c>
      <c r="J55" s="26">
        <f>+G55</f>
        <v>-0.14869119999639224</v>
      </c>
      <c r="O55" s="26">
        <f t="shared" ca="1" si="5"/>
        <v>-0.15858551100089266</v>
      </c>
      <c r="Q55" s="51">
        <f t="shared" si="10"/>
        <v>39280.945899999999</v>
      </c>
    </row>
    <row r="56" spans="1:21" s="26" customFormat="1" ht="12.95" customHeight="1" x14ac:dyDescent="0.2">
      <c r="A56" s="56" t="s">
        <v>78</v>
      </c>
      <c r="B56" s="57" t="s">
        <v>50</v>
      </c>
      <c r="C56" s="58">
        <v>54300.4787</v>
      </c>
      <c r="D56" s="59">
        <v>1E-4</v>
      </c>
      <c r="E56" s="26">
        <f t="shared" si="8"/>
        <v>17891.639737686895</v>
      </c>
      <c r="F56" s="54">
        <f t="shared" si="7"/>
        <v>17892</v>
      </c>
      <c r="G56" s="26">
        <f t="shared" si="9"/>
        <v>-0.1488552000009804</v>
      </c>
      <c r="J56" s="26">
        <f>+G56</f>
        <v>-0.1488552000009804</v>
      </c>
      <c r="O56" s="26">
        <f t="shared" ca="1" si="5"/>
        <v>-0.15860268871272026</v>
      </c>
      <c r="Q56" s="51">
        <f t="shared" si="10"/>
        <v>39281.9787</v>
      </c>
    </row>
    <row r="57" spans="1:21" s="26" customFormat="1" ht="12.95" customHeight="1" x14ac:dyDescent="0.2">
      <c r="A57" s="56" t="s">
        <v>78</v>
      </c>
      <c r="B57" s="57" t="s">
        <v>50</v>
      </c>
      <c r="C57" s="58">
        <v>54316.387000000002</v>
      </c>
      <c r="D57" s="59">
        <v>2E-3</v>
      </c>
      <c r="E57" s="26">
        <f t="shared" si="8"/>
        <v>17930.141321478786</v>
      </c>
      <c r="F57" s="54">
        <f t="shared" si="7"/>
        <v>17930.5</v>
      </c>
      <c r="G57" s="26">
        <f t="shared" si="9"/>
        <v>-0.14820079999481095</v>
      </c>
      <c r="J57" s="26">
        <f>+G57</f>
        <v>-0.14820079999481095</v>
      </c>
      <c r="O57" s="26">
        <f t="shared" ca="1" si="5"/>
        <v>-0.15886722547486509</v>
      </c>
      <c r="Q57" s="51">
        <f t="shared" si="10"/>
        <v>39297.887000000002</v>
      </c>
    </row>
    <row r="58" spans="1:21" s="26" customFormat="1" ht="12.95" customHeight="1" x14ac:dyDescent="0.2">
      <c r="A58" s="60" t="s">
        <v>76</v>
      </c>
      <c r="B58" s="61" t="s">
        <v>43</v>
      </c>
      <c r="C58" s="58">
        <v>54316.3874</v>
      </c>
      <c r="D58" s="58"/>
      <c r="E58" s="26">
        <f t="shared" si="8"/>
        <v>17930.142289566727</v>
      </c>
      <c r="F58" s="54">
        <f t="shared" si="7"/>
        <v>17930.5</v>
      </c>
      <c r="G58" s="26">
        <f t="shared" si="9"/>
        <v>-0.14780079999763984</v>
      </c>
      <c r="K58" s="26">
        <f>+G58</f>
        <v>-0.14780079999763984</v>
      </c>
      <c r="O58" s="26">
        <f t="shared" ca="1" si="5"/>
        <v>-0.15886722547486509</v>
      </c>
      <c r="Q58" s="51">
        <f t="shared" si="10"/>
        <v>39297.8874</v>
      </c>
      <c r="U58" s="26" t="s">
        <v>77</v>
      </c>
    </row>
    <row r="59" spans="1:21" s="26" customFormat="1" ht="12.95" customHeight="1" x14ac:dyDescent="0.2">
      <c r="A59" s="49" t="s">
        <v>193</v>
      </c>
      <c r="B59" s="50" t="s">
        <v>50</v>
      </c>
      <c r="C59" s="49">
        <v>54338.079899999997</v>
      </c>
      <c r="D59" s="49" t="s">
        <v>90</v>
      </c>
      <c r="E59" s="26">
        <f t="shared" si="8"/>
        <v>17982.642909143007</v>
      </c>
      <c r="F59" s="54">
        <f t="shared" si="7"/>
        <v>17983</v>
      </c>
      <c r="G59" s="26">
        <f t="shared" si="9"/>
        <v>-0.14754479999828618</v>
      </c>
      <c r="K59" s="26">
        <f>+G59</f>
        <v>-0.14754479999828618</v>
      </c>
      <c r="O59" s="26">
        <f t="shared" ca="1" si="5"/>
        <v>-0.15922795742324442</v>
      </c>
      <c r="Q59" s="51">
        <f t="shared" si="10"/>
        <v>39319.579899999997</v>
      </c>
    </row>
    <row r="60" spans="1:21" s="26" customFormat="1" ht="12.95" customHeight="1" x14ac:dyDescent="0.2">
      <c r="A60" s="60" t="s">
        <v>76</v>
      </c>
      <c r="B60" s="61" t="s">
        <v>50</v>
      </c>
      <c r="C60" s="58">
        <v>54343.449200000003</v>
      </c>
      <c r="D60" s="58"/>
      <c r="E60" s="26">
        <f t="shared" si="8"/>
        <v>17995.637795702478</v>
      </c>
      <c r="F60" s="54">
        <f t="shared" si="7"/>
        <v>17996</v>
      </c>
      <c r="G60" s="26">
        <f t="shared" si="9"/>
        <v>-0.14965759999176953</v>
      </c>
      <c r="K60" s="26">
        <f>+G60</f>
        <v>-0.14965759999176953</v>
      </c>
      <c r="O60" s="26">
        <f t="shared" ca="1" si="5"/>
        <v>-0.15931728152474789</v>
      </c>
      <c r="Q60" s="51">
        <f t="shared" si="10"/>
        <v>39324.949200000003</v>
      </c>
      <c r="U60" s="26" t="s">
        <v>77</v>
      </c>
    </row>
    <row r="61" spans="1:21" s="26" customFormat="1" ht="12.95" customHeight="1" x14ac:dyDescent="0.2">
      <c r="A61" s="58" t="s">
        <v>61</v>
      </c>
      <c r="B61" s="61" t="s">
        <v>50</v>
      </c>
      <c r="C61" s="58">
        <v>54389.3122</v>
      </c>
      <c r="D61" s="58">
        <v>1E-4</v>
      </c>
      <c r="E61" s="26">
        <f t="shared" si="8"/>
        <v>18106.636339698194</v>
      </c>
      <c r="F61" s="54">
        <f t="shared" si="7"/>
        <v>18107</v>
      </c>
      <c r="G61" s="26">
        <f t="shared" si="9"/>
        <v>-0.1502591999960714</v>
      </c>
      <c r="J61" s="26">
        <f>+G61</f>
        <v>-0.1502591999960714</v>
      </c>
      <c r="O61" s="26">
        <f t="shared" ca="1" si="5"/>
        <v>-0.16007997192989276</v>
      </c>
      <c r="Q61" s="51">
        <f t="shared" si="10"/>
        <v>39370.8122</v>
      </c>
    </row>
    <row r="62" spans="1:21" s="26" customFormat="1" ht="12.95" customHeight="1" x14ac:dyDescent="0.2">
      <c r="A62" s="59" t="s">
        <v>62</v>
      </c>
      <c r="B62" s="57" t="s">
        <v>43</v>
      </c>
      <c r="C62" s="59">
        <v>54620.484100000001</v>
      </c>
      <c r="D62" s="59">
        <v>1E-4</v>
      </c>
      <c r="E62" s="26">
        <f t="shared" si="8"/>
        <v>18666.12316595739</v>
      </c>
      <c r="F62" s="54">
        <f t="shared" si="7"/>
        <v>18666.5</v>
      </c>
      <c r="G62" s="26">
        <f t="shared" si="9"/>
        <v>-0.15570239999215119</v>
      </c>
      <c r="K62" s="26">
        <f>+G62</f>
        <v>-0.15570239999215119</v>
      </c>
      <c r="O62" s="26">
        <f t="shared" ca="1" si="5"/>
        <v>-0.16392434383690679</v>
      </c>
      <c r="Q62" s="51">
        <f t="shared" si="10"/>
        <v>39601.984100000001</v>
      </c>
    </row>
    <row r="63" spans="1:21" s="26" customFormat="1" ht="12.95" customHeight="1" x14ac:dyDescent="0.2">
      <c r="A63" s="58" t="s">
        <v>63</v>
      </c>
      <c r="B63" s="61" t="s">
        <v>50</v>
      </c>
      <c r="C63" s="58">
        <v>54624.407879999999</v>
      </c>
      <c r="D63" s="58">
        <v>2.9999999999999997E-4</v>
      </c>
      <c r="E63" s="26">
        <f t="shared" si="8"/>
        <v>18675.61957628727</v>
      </c>
      <c r="F63" s="54">
        <f t="shared" si="7"/>
        <v>18676</v>
      </c>
      <c r="G63" s="26">
        <f t="shared" si="9"/>
        <v>-0.15718560000095749</v>
      </c>
      <c r="K63" s="26">
        <f>+G63</f>
        <v>-0.15718560000095749</v>
      </c>
      <c r="O63" s="26">
        <f t="shared" ca="1" si="5"/>
        <v>-0.16398961914185162</v>
      </c>
      <c r="Q63" s="51">
        <f t="shared" si="10"/>
        <v>39605.907879999999</v>
      </c>
    </row>
    <row r="64" spans="1:21" s="26" customFormat="1" ht="12.95" customHeight="1" x14ac:dyDescent="0.2">
      <c r="A64" s="4" t="s">
        <v>63</v>
      </c>
      <c r="B64" s="5" t="s">
        <v>43</v>
      </c>
      <c r="C64" s="4">
        <v>54675.437729999998</v>
      </c>
      <c r="D64" s="4">
        <v>4.0000000000000002E-4</v>
      </c>
      <c r="E64" s="26">
        <f t="shared" si="8"/>
        <v>18799.123033329332</v>
      </c>
      <c r="F64" s="54">
        <f t="shared" si="7"/>
        <v>18799.5</v>
      </c>
      <c r="G64" s="26">
        <f t="shared" si="9"/>
        <v>-0.1557572000019718</v>
      </c>
      <c r="K64" s="26">
        <f>+G64</f>
        <v>-0.1557572000019718</v>
      </c>
      <c r="O64" s="26">
        <f t="shared" ca="1" si="5"/>
        <v>-0.16483819810613443</v>
      </c>
      <c r="Q64" s="51">
        <f t="shared" si="10"/>
        <v>39656.937729999998</v>
      </c>
    </row>
    <row r="65" spans="1:20" s="26" customFormat="1" ht="12.95" customHeight="1" x14ac:dyDescent="0.2">
      <c r="A65" s="8" t="s">
        <v>62</v>
      </c>
      <c r="B65" s="7" t="s">
        <v>43</v>
      </c>
      <c r="C65" s="8">
        <v>54680.392899999999</v>
      </c>
      <c r="D65" s="8">
        <v>2.9999999999999997E-4</v>
      </c>
      <c r="E65" s="26">
        <f t="shared" si="8"/>
        <v>18811.115634233141</v>
      </c>
      <c r="F65" s="54">
        <f t="shared" si="7"/>
        <v>18811.5</v>
      </c>
      <c r="G65" s="26">
        <f t="shared" si="9"/>
        <v>-0.15881439999793656</v>
      </c>
      <c r="K65" s="26">
        <f>+G65</f>
        <v>-0.15881439999793656</v>
      </c>
      <c r="O65" s="26">
        <f t="shared" ca="1" si="5"/>
        <v>-0.16492065112290685</v>
      </c>
      <c r="Q65" s="51">
        <f t="shared" si="10"/>
        <v>39661.892899999999</v>
      </c>
    </row>
    <row r="66" spans="1:20" s="26" customFormat="1" ht="12.95" customHeight="1" x14ac:dyDescent="0.2">
      <c r="A66" s="4" t="s">
        <v>63</v>
      </c>
      <c r="B66" s="5" t="s">
        <v>50</v>
      </c>
      <c r="C66" s="4">
        <v>54710.348720000002</v>
      </c>
      <c r="D66" s="4">
        <v>2.0000000000000001E-4</v>
      </c>
      <c r="E66" s="26">
        <f t="shared" si="8"/>
        <v>18883.615305083247</v>
      </c>
      <c r="F66" s="54">
        <f t="shared" si="7"/>
        <v>18884</v>
      </c>
      <c r="G66" s="26">
        <f t="shared" si="9"/>
        <v>-0.15895039999304572</v>
      </c>
      <c r="K66" s="26">
        <f>+G66</f>
        <v>-0.15895039999304572</v>
      </c>
      <c r="O66" s="26">
        <f t="shared" ca="1" si="5"/>
        <v>-0.1654188047659069</v>
      </c>
      <c r="Q66" s="51">
        <f t="shared" si="10"/>
        <v>39691.848720000002</v>
      </c>
    </row>
    <row r="67" spans="1:20" s="26" customFormat="1" ht="12.95" customHeight="1" x14ac:dyDescent="0.2">
      <c r="A67" s="4" t="s">
        <v>70</v>
      </c>
      <c r="B67" s="5" t="s">
        <v>50</v>
      </c>
      <c r="C67" s="4">
        <v>54776.2503</v>
      </c>
      <c r="D67" s="4">
        <v>2.0000000000000001E-4</v>
      </c>
      <c r="E67" s="26">
        <f t="shared" si="8"/>
        <v>19043.111618604333</v>
      </c>
      <c r="F67" s="54">
        <f t="shared" si="7"/>
        <v>19043.5</v>
      </c>
      <c r="G67" s="26">
        <f t="shared" si="9"/>
        <v>-0.16047360000084154</v>
      </c>
      <c r="J67" s="26">
        <f>+G67</f>
        <v>-0.16047360000084154</v>
      </c>
      <c r="O67" s="26">
        <f t="shared" ca="1" si="5"/>
        <v>-0.16651474278050696</v>
      </c>
      <c r="Q67" s="51">
        <f t="shared" si="10"/>
        <v>39757.7503</v>
      </c>
    </row>
    <row r="68" spans="1:20" s="26" customFormat="1" ht="12.95" customHeight="1" x14ac:dyDescent="0.2">
      <c r="A68" s="8" t="s">
        <v>62</v>
      </c>
      <c r="B68" s="7" t="s">
        <v>50</v>
      </c>
      <c r="C68" s="8">
        <v>54942.5533</v>
      </c>
      <c r="D68" s="8">
        <v>1E-4</v>
      </c>
      <c r="E68" s="26">
        <f t="shared" si="8"/>
        <v>19445.601443999989</v>
      </c>
      <c r="F68" s="54">
        <f t="shared" si="7"/>
        <v>19446</v>
      </c>
      <c r="G68" s="26">
        <f t="shared" si="9"/>
        <v>-0.16467759999795817</v>
      </c>
      <c r="K68" s="26">
        <f t="shared" ref="K68:K84" si="11">+G68</f>
        <v>-0.16467759999795817</v>
      </c>
      <c r="O68" s="26">
        <f t="shared" ca="1" si="5"/>
        <v>-0.1692803543847485</v>
      </c>
      <c r="Q68" s="51">
        <f t="shared" si="10"/>
        <v>39924.0533</v>
      </c>
    </row>
    <row r="69" spans="1:20" s="26" customFormat="1" ht="12.95" customHeight="1" x14ac:dyDescent="0.2">
      <c r="A69" s="8" t="s">
        <v>62</v>
      </c>
      <c r="B69" s="7" t="s">
        <v>50</v>
      </c>
      <c r="C69" s="8">
        <v>54969.409699999997</v>
      </c>
      <c r="D69" s="8">
        <v>2.0000000000000001E-4</v>
      </c>
      <c r="E69" s="26">
        <f t="shared" si="8"/>
        <v>19510.599836973986</v>
      </c>
      <c r="F69" s="54">
        <f t="shared" si="7"/>
        <v>19511</v>
      </c>
      <c r="G69" s="26">
        <f t="shared" si="9"/>
        <v>-0.16534159999719122</v>
      </c>
      <c r="K69" s="26">
        <f t="shared" si="11"/>
        <v>-0.16534159999719122</v>
      </c>
      <c r="O69" s="26">
        <f t="shared" ca="1" si="5"/>
        <v>-0.16972697489226579</v>
      </c>
      <c r="Q69" s="51">
        <f t="shared" si="10"/>
        <v>39950.909699999997</v>
      </c>
      <c r="T69" s="52"/>
    </row>
    <row r="70" spans="1:20" s="26" customFormat="1" ht="12.95" customHeight="1" x14ac:dyDescent="0.2">
      <c r="A70" s="62" t="s">
        <v>68</v>
      </c>
      <c r="B70" s="7" t="s">
        <v>43</v>
      </c>
      <c r="C70" s="8">
        <v>55065.4738</v>
      </c>
      <c r="D70" s="8">
        <v>2.0000000000000001E-4</v>
      </c>
      <c r="E70" s="26">
        <f t="shared" si="8"/>
        <v>19743.096080792755</v>
      </c>
      <c r="F70" s="54">
        <f t="shared" si="7"/>
        <v>19743.5</v>
      </c>
      <c r="G70" s="26">
        <f t="shared" si="9"/>
        <v>-0.16689359999872977</v>
      </c>
      <c r="K70" s="26">
        <f t="shared" si="11"/>
        <v>-0.16689359999872977</v>
      </c>
      <c r="O70" s="26">
        <f t="shared" ca="1" si="5"/>
        <v>-0.17132450209223141</v>
      </c>
      <c r="Q70" s="51">
        <f t="shared" si="10"/>
        <v>40046.9738</v>
      </c>
    </row>
    <row r="71" spans="1:20" s="26" customFormat="1" ht="12.95" customHeight="1" x14ac:dyDescent="0.2">
      <c r="A71" s="49" t="s">
        <v>245</v>
      </c>
      <c r="B71" s="50" t="s">
        <v>50</v>
      </c>
      <c r="C71" s="49">
        <v>55282.184399999998</v>
      </c>
      <c r="D71" s="49" t="s">
        <v>90</v>
      </c>
      <c r="E71" s="26">
        <f t="shared" si="8"/>
        <v>20267.583381415036</v>
      </c>
      <c r="F71" s="54">
        <f t="shared" si="7"/>
        <v>20268</v>
      </c>
      <c r="G71" s="26">
        <f t="shared" si="9"/>
        <v>-0.17214080000121612</v>
      </c>
      <c r="K71" s="26">
        <f t="shared" si="11"/>
        <v>-0.17214080000121612</v>
      </c>
      <c r="O71" s="26">
        <f t="shared" ref="O71:O102" ca="1" si="12">+C$11+C$12*F71</f>
        <v>-0.17492838603365921</v>
      </c>
      <c r="Q71" s="51">
        <f t="shared" si="10"/>
        <v>40263.684399999998</v>
      </c>
    </row>
    <row r="72" spans="1:20" s="26" customFormat="1" ht="12.95" customHeight="1" x14ac:dyDescent="0.2">
      <c r="A72" s="63" t="s">
        <v>67</v>
      </c>
      <c r="C72" s="64">
        <v>55300.98733238026</v>
      </c>
      <c r="D72" s="52">
        <v>5.0000000000000001E-4</v>
      </c>
      <c r="E72" s="26">
        <f t="shared" si="8"/>
        <v>20313.090612016156</v>
      </c>
      <c r="F72" s="54">
        <f t="shared" si="7"/>
        <v>20313.5</v>
      </c>
      <c r="G72" s="26">
        <f t="shared" si="9"/>
        <v>-0.16915321973647224</v>
      </c>
      <c r="J72" s="60"/>
      <c r="K72" s="26">
        <f t="shared" si="11"/>
        <v>-0.16915321973647224</v>
      </c>
      <c r="O72" s="26">
        <f t="shared" ca="1" si="12"/>
        <v>-0.17524102038892131</v>
      </c>
      <c r="Q72" s="51">
        <f t="shared" si="10"/>
        <v>40282.48733238026</v>
      </c>
      <c r="S72" s="27"/>
    </row>
    <row r="73" spans="1:20" s="26" customFormat="1" ht="12.95" customHeight="1" x14ac:dyDescent="0.2">
      <c r="A73" s="49" t="s">
        <v>245</v>
      </c>
      <c r="B73" s="50" t="s">
        <v>50</v>
      </c>
      <c r="C73" s="49">
        <v>55363.994200000001</v>
      </c>
      <c r="D73" s="49" t="s">
        <v>90</v>
      </c>
      <c r="E73" s="26">
        <f t="shared" si="8"/>
        <v>20465.581085110429</v>
      </c>
      <c r="F73" s="54">
        <f t="shared" si="7"/>
        <v>20466</v>
      </c>
      <c r="G73" s="26">
        <f t="shared" si="9"/>
        <v>-0.17308959999354556</v>
      </c>
      <c r="K73" s="26">
        <f t="shared" si="11"/>
        <v>-0.17308959999354556</v>
      </c>
      <c r="O73" s="26">
        <f t="shared" ca="1" si="12"/>
        <v>-0.17628886081040412</v>
      </c>
      <c r="Q73" s="51">
        <f t="shared" si="10"/>
        <v>40345.494200000001</v>
      </c>
    </row>
    <row r="74" spans="1:20" s="26" customFormat="1" ht="12.95" customHeight="1" x14ac:dyDescent="0.2">
      <c r="A74" s="56" t="s">
        <v>69</v>
      </c>
      <c r="B74" s="57" t="s">
        <v>43</v>
      </c>
      <c r="C74" s="59">
        <v>55380.313199999997</v>
      </c>
      <c r="D74" s="59">
        <v>1E-4</v>
      </c>
      <c r="E74" s="26">
        <f t="shared" si="8"/>
        <v>20505.076653203789</v>
      </c>
      <c r="F74" s="54">
        <f t="shared" si="7"/>
        <v>20505.5</v>
      </c>
      <c r="G74" s="26">
        <f t="shared" si="9"/>
        <v>-0.17492080000374699</v>
      </c>
      <c r="K74" s="26">
        <f t="shared" si="11"/>
        <v>-0.17492080000374699</v>
      </c>
      <c r="O74" s="26">
        <f t="shared" ca="1" si="12"/>
        <v>-0.17656026865728</v>
      </c>
      <c r="Q74" s="51">
        <f t="shared" si="10"/>
        <v>40361.813199999997</v>
      </c>
    </row>
    <row r="75" spans="1:20" s="26" customFormat="1" ht="12.95" customHeight="1" x14ac:dyDescent="0.2">
      <c r="A75" s="56" t="s">
        <v>69</v>
      </c>
      <c r="B75" s="57" t="s">
        <v>50</v>
      </c>
      <c r="C75" s="59">
        <v>55380.5193</v>
      </c>
      <c r="D75" s="59">
        <v>1E-4</v>
      </c>
      <c r="E75" s="26">
        <f t="shared" si="8"/>
        <v>20505.575460519442</v>
      </c>
      <c r="F75" s="54">
        <f t="shared" si="7"/>
        <v>20506</v>
      </c>
      <c r="G75" s="26">
        <f t="shared" si="9"/>
        <v>-0.17541359999449924</v>
      </c>
      <c r="K75" s="26">
        <f t="shared" si="11"/>
        <v>-0.17541359999449924</v>
      </c>
      <c r="O75" s="26">
        <f t="shared" ca="1" si="12"/>
        <v>-0.17656370419964551</v>
      </c>
      <c r="Q75" s="51">
        <f t="shared" si="10"/>
        <v>40362.0193</v>
      </c>
    </row>
    <row r="76" spans="1:20" s="26" customFormat="1" ht="12.95" customHeight="1" x14ac:dyDescent="0.2">
      <c r="A76" s="56" t="s">
        <v>69</v>
      </c>
      <c r="B76" s="57" t="s">
        <v>50</v>
      </c>
      <c r="C76" s="59">
        <v>55390.436800000003</v>
      </c>
      <c r="D76" s="59">
        <v>1E-4</v>
      </c>
      <c r="E76" s="26">
        <f t="shared" si="8"/>
        <v>20529.577991101349</v>
      </c>
      <c r="F76" s="54">
        <f t="shared" si="7"/>
        <v>20530</v>
      </c>
      <c r="G76" s="26">
        <f t="shared" si="9"/>
        <v>-0.1743679999926826</v>
      </c>
      <c r="K76" s="26">
        <f t="shared" si="11"/>
        <v>-0.1743679999926826</v>
      </c>
      <c r="O76" s="26">
        <f t="shared" ca="1" si="12"/>
        <v>-0.17672861023319036</v>
      </c>
      <c r="Q76" s="51">
        <f t="shared" si="10"/>
        <v>40371.936800000003</v>
      </c>
    </row>
    <row r="77" spans="1:20" s="26" customFormat="1" ht="12.95" customHeight="1" x14ac:dyDescent="0.2">
      <c r="A77" s="49" t="s">
        <v>245</v>
      </c>
      <c r="B77" s="50" t="s">
        <v>43</v>
      </c>
      <c r="C77" s="49">
        <v>55412.127399999998</v>
      </c>
      <c r="D77" s="49" t="s">
        <v>90</v>
      </c>
      <c r="E77" s="26">
        <f t="shared" si="8"/>
        <v>20582.074012259865</v>
      </c>
      <c r="F77" s="54">
        <f t="shared" si="7"/>
        <v>20582.5</v>
      </c>
      <c r="G77" s="26">
        <f t="shared" si="9"/>
        <v>-0.1760119999962626</v>
      </c>
      <c r="K77" s="26">
        <f t="shared" si="11"/>
        <v>-0.1760119999962626</v>
      </c>
      <c r="O77" s="26">
        <f t="shared" ca="1" si="12"/>
        <v>-0.17708934218156969</v>
      </c>
      <c r="Q77" s="51">
        <f t="shared" si="10"/>
        <v>40393.627399999998</v>
      </c>
    </row>
    <row r="78" spans="1:20" s="26" customFormat="1" ht="12.95" customHeight="1" x14ac:dyDescent="0.2">
      <c r="A78" s="49" t="s">
        <v>245</v>
      </c>
      <c r="B78" s="50" t="s">
        <v>50</v>
      </c>
      <c r="C78" s="49">
        <v>55413.161200000002</v>
      </c>
      <c r="D78" s="49" t="s">
        <v>90</v>
      </c>
      <c r="E78" s="26">
        <f t="shared" si="8"/>
        <v>20584.576035563692</v>
      </c>
      <c r="F78" s="54">
        <f t="shared" si="7"/>
        <v>20585</v>
      </c>
      <c r="G78" s="26">
        <f t="shared" si="9"/>
        <v>-0.17517599999700906</v>
      </c>
      <c r="K78" s="26">
        <f t="shared" si="11"/>
        <v>-0.17517599999700906</v>
      </c>
      <c r="O78" s="26">
        <f t="shared" ca="1" si="12"/>
        <v>-0.17710651989339729</v>
      </c>
      <c r="Q78" s="51">
        <f t="shared" si="10"/>
        <v>40394.661200000002</v>
      </c>
    </row>
    <row r="79" spans="1:20" s="26" customFormat="1" ht="12.95" customHeight="1" x14ac:dyDescent="0.2">
      <c r="A79" s="56" t="s">
        <v>71</v>
      </c>
      <c r="B79" s="57" t="s">
        <v>50</v>
      </c>
      <c r="C79" s="59">
        <v>55468.526899999997</v>
      </c>
      <c r="D79" s="59">
        <v>6.9999999999999999E-4</v>
      </c>
      <c r="E79" s="26">
        <f t="shared" si="8"/>
        <v>20718.57320293834</v>
      </c>
      <c r="F79" s="54">
        <f t="shared" si="7"/>
        <v>20719</v>
      </c>
      <c r="G79" s="26">
        <f t="shared" si="9"/>
        <v>-0.17634639999596402</v>
      </c>
      <c r="K79" s="26">
        <f t="shared" si="11"/>
        <v>-0.17634639999596402</v>
      </c>
      <c r="O79" s="26">
        <f t="shared" ca="1" si="12"/>
        <v>-0.17802724524735597</v>
      </c>
      <c r="Q79" s="51">
        <f t="shared" si="10"/>
        <v>40450.026899999997</v>
      </c>
    </row>
    <row r="80" spans="1:20" s="26" customFormat="1" ht="12.95" customHeight="1" x14ac:dyDescent="0.2">
      <c r="A80" s="56" t="s">
        <v>68</v>
      </c>
      <c r="B80" s="57" t="s">
        <v>50</v>
      </c>
      <c r="C80" s="59">
        <v>55481.335599999999</v>
      </c>
      <c r="D80" s="59">
        <v>2.9999999999999997E-4</v>
      </c>
      <c r="E80" s="26">
        <f t="shared" si="8"/>
        <v>20749.573073214557</v>
      </c>
      <c r="F80" s="54">
        <f t="shared" si="7"/>
        <v>20750</v>
      </c>
      <c r="G80" s="26">
        <f t="shared" si="9"/>
        <v>-0.17639999999664724</v>
      </c>
      <c r="K80" s="26">
        <f t="shared" si="11"/>
        <v>-0.17639999999664724</v>
      </c>
      <c r="O80" s="26">
        <f t="shared" ca="1" si="12"/>
        <v>-0.17824024887401804</v>
      </c>
      <c r="Q80" s="51">
        <f t="shared" si="10"/>
        <v>40462.835599999999</v>
      </c>
    </row>
    <row r="81" spans="1:17" s="26" customFormat="1" ht="12.95" customHeight="1" x14ac:dyDescent="0.2">
      <c r="A81" s="6" t="s">
        <v>73</v>
      </c>
      <c r="B81" s="7" t="s">
        <v>43</v>
      </c>
      <c r="C81" s="8">
        <v>55628.634700000002</v>
      </c>
      <c r="D81" s="8">
        <v>5.9999999999999995E-4</v>
      </c>
      <c r="E81" s="26">
        <f t="shared" si="8"/>
        <v>21106.069282182158</v>
      </c>
      <c r="F81" s="54">
        <f t="shared" si="7"/>
        <v>21106.5</v>
      </c>
      <c r="G81" s="26">
        <f t="shared" si="9"/>
        <v>-0.17796639999869512</v>
      </c>
      <c r="K81" s="26">
        <f t="shared" si="11"/>
        <v>-0.17796639999869512</v>
      </c>
      <c r="O81" s="26">
        <f t="shared" ca="1" si="12"/>
        <v>-0.180689790580632</v>
      </c>
      <c r="Q81" s="51">
        <f t="shared" si="10"/>
        <v>40610.134700000002</v>
      </c>
    </row>
    <row r="82" spans="1:17" s="26" customFormat="1" ht="12.95" customHeight="1" x14ac:dyDescent="0.2">
      <c r="A82" s="49" t="s">
        <v>292</v>
      </c>
      <c r="B82" s="50" t="s">
        <v>43</v>
      </c>
      <c r="C82" s="49">
        <v>55671.597900000001</v>
      </c>
      <c r="D82" s="49" t="s">
        <v>90</v>
      </c>
      <c r="E82" s="26">
        <f t="shared" si="8"/>
        <v>21210.049672592664</v>
      </c>
      <c r="F82" s="54">
        <f t="shared" ref="F82:F113" si="13">ROUND(2*E82,0)/2+0.5</f>
        <v>21210.5</v>
      </c>
      <c r="G82" s="26">
        <f t="shared" si="9"/>
        <v>-0.18606879999424564</v>
      </c>
      <c r="K82" s="26">
        <f t="shared" si="11"/>
        <v>-0.18606879999424564</v>
      </c>
      <c r="O82" s="26">
        <f t="shared" ca="1" si="12"/>
        <v>-0.18140438339265963</v>
      </c>
      <c r="Q82" s="51">
        <f t="shared" si="10"/>
        <v>40653.097900000001</v>
      </c>
    </row>
    <row r="83" spans="1:17" s="26" customFormat="1" ht="12.95" customHeight="1" x14ac:dyDescent="0.2">
      <c r="A83" s="4" t="s">
        <v>72</v>
      </c>
      <c r="B83" s="5" t="s">
        <v>43</v>
      </c>
      <c r="C83" s="4">
        <v>55815.389499999997</v>
      </c>
      <c r="D83" s="4">
        <v>2.0000000000000001E-4</v>
      </c>
      <c r="E83" s="26">
        <f t="shared" si="8"/>
        <v>21558.056960358736</v>
      </c>
      <c r="F83" s="54">
        <f t="shared" si="13"/>
        <v>21558.5</v>
      </c>
      <c r="G83" s="26">
        <f t="shared" si="9"/>
        <v>-0.1830575999993016</v>
      </c>
      <c r="K83" s="26">
        <f t="shared" si="11"/>
        <v>-0.1830575999993016</v>
      </c>
      <c r="O83" s="26">
        <f t="shared" ca="1" si="12"/>
        <v>-0.18379552087905976</v>
      </c>
      <c r="Q83" s="51">
        <f t="shared" si="10"/>
        <v>40796.889499999997</v>
      </c>
    </row>
    <row r="84" spans="1:17" s="26" customFormat="1" ht="12.95" customHeight="1" x14ac:dyDescent="0.2">
      <c r="A84" s="49" t="s">
        <v>292</v>
      </c>
      <c r="B84" s="50" t="s">
        <v>50</v>
      </c>
      <c r="C84" s="49">
        <v>55830.469899999996</v>
      </c>
      <c r="D84" s="49" t="s">
        <v>90</v>
      </c>
      <c r="E84" s="26">
        <f t="shared" si="8"/>
        <v>21594.554844118476</v>
      </c>
      <c r="F84" s="54">
        <f t="shared" si="13"/>
        <v>21595</v>
      </c>
      <c r="G84" s="26">
        <f t="shared" si="9"/>
        <v>-0.18393199999991339</v>
      </c>
      <c r="K84" s="26">
        <f t="shared" si="11"/>
        <v>-0.18393199999991339</v>
      </c>
      <c r="O84" s="26">
        <f t="shared" ca="1" si="12"/>
        <v>-0.18404631547174255</v>
      </c>
      <c r="Q84" s="51">
        <f t="shared" si="10"/>
        <v>40811.969899999996</v>
      </c>
    </row>
    <row r="85" spans="1:17" s="26" customFormat="1" ht="12.95" customHeight="1" x14ac:dyDescent="0.2">
      <c r="A85" s="6" t="s">
        <v>74</v>
      </c>
      <c r="B85" s="5" t="s">
        <v>50</v>
      </c>
      <c r="C85" s="4">
        <v>56154.399799999999</v>
      </c>
      <c r="D85" s="4">
        <v>3.0000000000000001E-3</v>
      </c>
      <c r="E85" s="26">
        <f t="shared" ref="E85:E102" si="14">+(C85-C$7)/C$8</f>
        <v>22378.536425277169</v>
      </c>
      <c r="F85" s="54">
        <f t="shared" si="13"/>
        <v>22379</v>
      </c>
      <c r="G85" s="26">
        <f t="shared" ref="G85:G116" si="15">+C85-(C$7+F85*C$8)</f>
        <v>-0.19154239999625133</v>
      </c>
      <c r="J85" s="26">
        <f>+G85</f>
        <v>-0.19154239999625133</v>
      </c>
      <c r="O85" s="26">
        <f t="shared" ca="1" si="12"/>
        <v>-0.18943324590087393</v>
      </c>
      <c r="Q85" s="51">
        <f t="shared" ref="Q85:Q102" si="16">+C85-15018.5</f>
        <v>41135.899799999999</v>
      </c>
    </row>
    <row r="86" spans="1:17" s="26" customFormat="1" ht="12.95" customHeight="1" x14ac:dyDescent="0.2">
      <c r="A86" s="6" t="s">
        <v>73</v>
      </c>
      <c r="B86" s="7" t="s">
        <v>50</v>
      </c>
      <c r="C86" s="8">
        <v>56188.282800000001</v>
      </c>
      <c r="D86" s="8">
        <v>2.9999999999999997E-4</v>
      </c>
      <c r="E86" s="26">
        <f t="shared" si="14"/>
        <v>22460.540735204719</v>
      </c>
      <c r="F86" s="54">
        <f t="shared" si="13"/>
        <v>22461</v>
      </c>
      <c r="G86" s="26">
        <f t="shared" si="15"/>
        <v>-0.18976159999874653</v>
      </c>
      <c r="K86" s="26">
        <f>+G86</f>
        <v>-0.18976159999874653</v>
      </c>
      <c r="O86" s="26">
        <f t="shared" ca="1" si="12"/>
        <v>-0.1899966748488188</v>
      </c>
      <c r="Q86" s="51">
        <f t="shared" si="16"/>
        <v>41169.782800000001</v>
      </c>
    </row>
    <row r="87" spans="1:17" s="26" customFormat="1" ht="12.95" customHeight="1" x14ac:dyDescent="0.2">
      <c r="A87" s="6" t="s">
        <v>73</v>
      </c>
      <c r="B87" s="7" t="s">
        <v>50</v>
      </c>
      <c r="C87" s="8">
        <v>56189.3145</v>
      </c>
      <c r="D87" s="8">
        <v>2.0000000000000001E-4</v>
      </c>
      <c r="E87" s="26">
        <f t="shared" si="14"/>
        <v>22463.037676046799</v>
      </c>
      <c r="F87" s="54">
        <f t="shared" si="13"/>
        <v>22463.5</v>
      </c>
      <c r="G87" s="26">
        <f t="shared" si="15"/>
        <v>-0.19102559999737423</v>
      </c>
      <c r="K87" s="26">
        <f>+G87</f>
        <v>-0.19102559999737423</v>
      </c>
      <c r="O87" s="26">
        <f t="shared" ca="1" si="12"/>
        <v>-0.19001385256064637</v>
      </c>
      <c r="Q87" s="51">
        <f t="shared" si="16"/>
        <v>41170.8145</v>
      </c>
    </row>
    <row r="88" spans="1:17" s="26" customFormat="1" ht="12.95" customHeight="1" x14ac:dyDescent="0.2">
      <c r="A88" s="6" t="s">
        <v>73</v>
      </c>
      <c r="B88" s="7" t="s">
        <v>50</v>
      </c>
      <c r="C88" s="8">
        <v>56219.269899999999</v>
      </c>
      <c r="D88" s="8">
        <v>2.0000000000000001E-4</v>
      </c>
      <c r="E88" s="26">
        <f t="shared" si="14"/>
        <v>22535.53633040455</v>
      </c>
      <c r="F88" s="54">
        <f t="shared" si="13"/>
        <v>22536</v>
      </c>
      <c r="G88" s="26">
        <f t="shared" si="15"/>
        <v>-0.19158159999642521</v>
      </c>
      <c r="K88" s="26">
        <f>+G88</f>
        <v>-0.19158159999642521</v>
      </c>
      <c r="O88" s="26">
        <f t="shared" ca="1" si="12"/>
        <v>-0.19051200620364642</v>
      </c>
      <c r="Q88" s="51">
        <f t="shared" si="16"/>
        <v>41200.769899999999</v>
      </c>
    </row>
    <row r="89" spans="1:17" s="26" customFormat="1" ht="12.95" customHeight="1" x14ac:dyDescent="0.2">
      <c r="A89" s="65" t="s">
        <v>79</v>
      </c>
      <c r="B89" s="66" t="s">
        <v>50</v>
      </c>
      <c r="C89" s="65">
        <v>56420.487800000003</v>
      </c>
      <c r="D89" s="65">
        <v>6.9999999999999999E-4</v>
      </c>
      <c r="E89" s="26">
        <f t="shared" si="14"/>
        <v>23022.527890613819</v>
      </c>
      <c r="F89" s="54">
        <f t="shared" si="13"/>
        <v>23023</v>
      </c>
      <c r="G89" s="26">
        <f t="shared" si="15"/>
        <v>-0.1950687999924412</v>
      </c>
      <c r="K89" s="26">
        <f>+G89</f>
        <v>-0.1950687999924412</v>
      </c>
      <c r="O89" s="26">
        <f t="shared" ca="1" si="12"/>
        <v>-0.19385822446766041</v>
      </c>
      <c r="Q89" s="51">
        <f t="shared" si="16"/>
        <v>41401.987800000003</v>
      </c>
    </row>
    <row r="90" spans="1:17" s="26" customFormat="1" ht="12.95" customHeight="1" x14ac:dyDescent="0.2">
      <c r="A90" s="65" t="s">
        <v>79</v>
      </c>
      <c r="B90" s="66" t="s">
        <v>43</v>
      </c>
      <c r="C90" s="65">
        <v>56433.500399999997</v>
      </c>
      <c r="D90" s="65">
        <v>8.9999999999999998E-4</v>
      </c>
      <c r="E90" s="26">
        <f t="shared" si="14"/>
        <v>23054.021243721949</v>
      </c>
      <c r="F90" s="54">
        <f t="shared" si="13"/>
        <v>23054.5</v>
      </c>
      <c r="G90" s="26">
        <f t="shared" si="15"/>
        <v>-0.19781520000105957</v>
      </c>
      <c r="K90" s="26">
        <f>+G90</f>
        <v>-0.19781520000105957</v>
      </c>
      <c r="O90" s="26">
        <f t="shared" ca="1" si="12"/>
        <v>-0.19407466363668802</v>
      </c>
      <c r="Q90" s="51">
        <f t="shared" si="16"/>
        <v>41415.000399999997</v>
      </c>
    </row>
    <row r="91" spans="1:17" s="26" customFormat="1" ht="12.95" customHeight="1" x14ac:dyDescent="0.2">
      <c r="A91" s="4" t="s">
        <v>75</v>
      </c>
      <c r="B91" s="5" t="s">
        <v>50</v>
      </c>
      <c r="C91" s="4">
        <v>56450.442999999999</v>
      </c>
      <c r="D91" s="4">
        <v>4.0000000000000002E-4</v>
      </c>
      <c r="E91" s="26">
        <f t="shared" si="14"/>
        <v>23095.026060927587</v>
      </c>
      <c r="F91" s="54">
        <f t="shared" si="13"/>
        <v>23095.5</v>
      </c>
      <c r="G91" s="26">
        <f t="shared" si="15"/>
        <v>-0.19582480000099167</v>
      </c>
      <c r="J91" s="26">
        <f>+G91</f>
        <v>-0.19582480000099167</v>
      </c>
      <c r="O91" s="26">
        <f t="shared" ca="1" si="12"/>
        <v>-0.19435637811066045</v>
      </c>
      <c r="Q91" s="51">
        <f t="shared" si="16"/>
        <v>41431.942999999999</v>
      </c>
    </row>
    <row r="92" spans="1:17" s="26" customFormat="1" ht="12.95" customHeight="1" x14ac:dyDescent="0.2">
      <c r="A92" s="65" t="s">
        <v>79</v>
      </c>
      <c r="B92" s="66" t="s">
        <v>43</v>
      </c>
      <c r="C92" s="65">
        <v>57154.497199999998</v>
      </c>
      <c r="D92" s="65">
        <v>2.0000000000000001E-4</v>
      </c>
      <c r="E92" s="26">
        <f t="shared" si="14"/>
        <v>24798.992026827655</v>
      </c>
      <c r="F92" s="54">
        <f t="shared" si="13"/>
        <v>24799.5</v>
      </c>
      <c r="G92" s="26">
        <f t="shared" si="15"/>
        <v>-0.20988719999877503</v>
      </c>
      <c r="K92" s="26">
        <f t="shared" ref="K92:K100" si="17">+G92</f>
        <v>-0.20988719999877503</v>
      </c>
      <c r="O92" s="26">
        <f t="shared" ca="1" si="12"/>
        <v>-0.20606470649234393</v>
      </c>
      <c r="Q92" s="51">
        <f t="shared" si="16"/>
        <v>42135.997199999998</v>
      </c>
    </row>
    <row r="93" spans="1:17" s="26" customFormat="1" ht="12.95" customHeight="1" x14ac:dyDescent="0.2">
      <c r="A93" s="65" t="s">
        <v>79</v>
      </c>
      <c r="B93" s="66" t="s">
        <v>43</v>
      </c>
      <c r="C93" s="65">
        <v>57183.419699999999</v>
      </c>
      <c r="D93" s="65">
        <v>1E-4</v>
      </c>
      <c r="E93" s="26">
        <f t="shared" si="14"/>
        <v>24868.99083607948</v>
      </c>
      <c r="F93" s="54">
        <f t="shared" si="13"/>
        <v>24869.5</v>
      </c>
      <c r="G93" s="26">
        <f t="shared" si="15"/>
        <v>-0.2103791999979876</v>
      </c>
      <c r="K93" s="26">
        <f t="shared" si="17"/>
        <v>-0.2103791999979876</v>
      </c>
      <c r="O93" s="26">
        <f t="shared" ca="1" si="12"/>
        <v>-0.2065456824235164</v>
      </c>
      <c r="Q93" s="51">
        <f t="shared" si="16"/>
        <v>42164.919699999999</v>
      </c>
    </row>
    <row r="94" spans="1:17" s="26" customFormat="1" ht="12.95" customHeight="1" x14ac:dyDescent="0.2">
      <c r="A94" s="65" t="s">
        <v>79</v>
      </c>
      <c r="B94" s="66" t="s">
        <v>43</v>
      </c>
      <c r="C94" s="65">
        <v>57214.407299999999</v>
      </c>
      <c r="D94" s="65">
        <v>2.0000000000000001E-4</v>
      </c>
      <c r="E94" s="26">
        <f t="shared" si="14"/>
        <v>24943.987641389249</v>
      </c>
      <c r="F94" s="54">
        <f t="shared" si="13"/>
        <v>24944.5</v>
      </c>
      <c r="G94" s="26">
        <f t="shared" si="15"/>
        <v>-0.21169920000102138</v>
      </c>
      <c r="K94" s="26">
        <f t="shared" si="17"/>
        <v>-0.21169920000102138</v>
      </c>
      <c r="O94" s="26">
        <f t="shared" ca="1" si="12"/>
        <v>-0.20706101377834399</v>
      </c>
      <c r="Q94" s="51">
        <f t="shared" si="16"/>
        <v>42195.907299999999</v>
      </c>
    </row>
    <row r="95" spans="1:17" s="26" customFormat="1" ht="12.95" customHeight="1" x14ac:dyDescent="0.2">
      <c r="A95" s="65" t="s">
        <v>79</v>
      </c>
      <c r="B95" s="66" t="s">
        <v>50</v>
      </c>
      <c r="C95" s="65">
        <v>57241.471100000002</v>
      </c>
      <c r="D95" s="65">
        <v>1E-4</v>
      </c>
      <c r="E95" s="26">
        <f t="shared" si="14"/>
        <v>25009.487987964741</v>
      </c>
      <c r="F95" s="54">
        <f t="shared" si="13"/>
        <v>25010</v>
      </c>
      <c r="G95" s="26">
        <f t="shared" si="15"/>
        <v>-0.21155599999474362</v>
      </c>
      <c r="K95" s="26">
        <f t="shared" si="17"/>
        <v>-0.21155599999474362</v>
      </c>
      <c r="O95" s="26">
        <f t="shared" ca="1" si="12"/>
        <v>-0.20751106982822679</v>
      </c>
      <c r="Q95" s="51">
        <f t="shared" si="16"/>
        <v>42222.971100000002</v>
      </c>
    </row>
    <row r="96" spans="1:17" s="26" customFormat="1" ht="12.95" customHeight="1" x14ac:dyDescent="0.2">
      <c r="A96" s="65" t="s">
        <v>79</v>
      </c>
      <c r="B96" s="66" t="s">
        <v>43</v>
      </c>
      <c r="C96" s="65">
        <v>57242.504200000003</v>
      </c>
      <c r="D96" s="65">
        <v>1E-4</v>
      </c>
      <c r="E96" s="26">
        <f t="shared" si="14"/>
        <v>25011.988317114647</v>
      </c>
      <c r="F96" s="54">
        <f t="shared" si="13"/>
        <v>25012.5</v>
      </c>
      <c r="G96" s="26">
        <f t="shared" si="15"/>
        <v>-0.2114199999923585</v>
      </c>
      <c r="K96" s="26">
        <f t="shared" si="17"/>
        <v>-0.2114199999923585</v>
      </c>
      <c r="O96" s="26">
        <f t="shared" ca="1" si="12"/>
        <v>-0.20752824754005439</v>
      </c>
      <c r="Q96" s="51">
        <f t="shared" si="16"/>
        <v>42224.004200000003</v>
      </c>
    </row>
    <row r="97" spans="1:19" s="26" customFormat="1" ht="12.95" customHeight="1" x14ac:dyDescent="0.2">
      <c r="A97" s="67" t="s">
        <v>0</v>
      </c>
      <c r="B97" s="68" t="s">
        <v>43</v>
      </c>
      <c r="C97" s="68">
        <v>57657.3341</v>
      </c>
      <c r="D97" s="68">
        <v>2.0000000000000001E-4</v>
      </c>
      <c r="E97" s="26">
        <f t="shared" si="14"/>
        <v>26015.967884650392</v>
      </c>
      <c r="F97" s="54">
        <f t="shared" si="13"/>
        <v>26016.5</v>
      </c>
      <c r="G97" s="26">
        <f t="shared" si="15"/>
        <v>-0.2198623999938718</v>
      </c>
      <c r="K97" s="26">
        <f t="shared" si="17"/>
        <v>-0.2198623999938718</v>
      </c>
      <c r="O97" s="26">
        <f t="shared" ca="1" si="12"/>
        <v>-0.21442681661001342</v>
      </c>
      <c r="Q97" s="51">
        <f t="shared" si="16"/>
        <v>42638.8341</v>
      </c>
    </row>
    <row r="98" spans="1:19" s="26" customFormat="1" ht="12.95" customHeight="1" x14ac:dyDescent="0.2">
      <c r="A98" s="69" t="s">
        <v>324</v>
      </c>
      <c r="C98" s="70">
        <v>58251.894999999997</v>
      </c>
      <c r="D98" s="4">
        <v>2.9999999999999997E-4</v>
      </c>
      <c r="E98" s="26">
        <f t="shared" si="14"/>
        <v>27454.93599002482</v>
      </c>
      <c r="F98" s="54">
        <f t="shared" si="13"/>
        <v>27455.5</v>
      </c>
      <c r="G98" s="26">
        <f t="shared" si="15"/>
        <v>-0.23304079999797978</v>
      </c>
      <c r="K98" s="26">
        <f t="shared" si="17"/>
        <v>-0.23304079999797978</v>
      </c>
      <c r="O98" s="26">
        <f t="shared" ca="1" si="12"/>
        <v>-0.22431430753797268</v>
      </c>
      <c r="Q98" s="51">
        <f t="shared" si="16"/>
        <v>43233.394999999997</v>
      </c>
    </row>
    <row r="99" spans="1:19" s="26" customFormat="1" ht="12.95" customHeight="1" x14ac:dyDescent="0.2">
      <c r="A99" s="23" t="s">
        <v>325</v>
      </c>
      <c r="B99" s="24" t="s">
        <v>50</v>
      </c>
      <c r="C99" s="82">
        <v>59299.501999999862</v>
      </c>
      <c r="D99" s="81">
        <v>1E-3</v>
      </c>
      <c r="E99" s="26">
        <f t="shared" si="14"/>
        <v>29990.375269612166</v>
      </c>
      <c r="F99" s="54">
        <f t="shared" si="13"/>
        <v>29991</v>
      </c>
      <c r="G99" s="26">
        <f t="shared" si="15"/>
        <v>-0.25812960013718111</v>
      </c>
      <c r="K99" s="26">
        <f t="shared" si="17"/>
        <v>-0.25812960013718111</v>
      </c>
      <c r="O99" s="26">
        <f t="shared" ca="1" si="12"/>
        <v>-0.24173594287351172</v>
      </c>
      <c r="Q99" s="51">
        <f t="shared" si="16"/>
        <v>44281.001999999862</v>
      </c>
    </row>
    <row r="100" spans="1:19" s="26" customFormat="1" ht="12.95" customHeight="1" x14ac:dyDescent="0.2">
      <c r="A100" s="69" t="s">
        <v>323</v>
      </c>
      <c r="C100" s="71">
        <v>59387.716999999997</v>
      </c>
      <c r="D100" s="71">
        <v>1E-3</v>
      </c>
      <c r="E100" s="26">
        <f t="shared" si="14"/>
        <v>30203.874965632876</v>
      </c>
      <c r="F100" s="54">
        <f t="shared" si="13"/>
        <v>30204.5</v>
      </c>
      <c r="G100" s="26">
        <f t="shared" si="15"/>
        <v>-0.25825520000216784</v>
      </c>
      <c r="K100" s="26">
        <f t="shared" si="17"/>
        <v>-0.25825520000216784</v>
      </c>
      <c r="O100" s="26">
        <f t="shared" ca="1" si="12"/>
        <v>-0.24320291946358766</v>
      </c>
      <c r="Q100" s="51">
        <f t="shared" si="16"/>
        <v>44369.216999999997</v>
      </c>
    </row>
    <row r="101" spans="1:19" s="26" customFormat="1" ht="12.95" customHeight="1" x14ac:dyDescent="0.2">
      <c r="A101" s="25" t="s">
        <v>327</v>
      </c>
      <c r="B101" s="74" t="s">
        <v>43</v>
      </c>
      <c r="C101" s="75">
        <v>59500.6368</v>
      </c>
      <c r="D101" s="76">
        <v>2.0000000000000001E-4</v>
      </c>
      <c r="E101" s="72">
        <f t="shared" si="14"/>
        <v>30477.165709550387</v>
      </c>
      <c r="F101" s="72">
        <f t="shared" si="13"/>
        <v>30477.5</v>
      </c>
      <c r="G101" s="72">
        <f t="shared" si="15"/>
        <v>-0.13812399999733316</v>
      </c>
      <c r="H101" s="72"/>
      <c r="I101" s="72"/>
      <c r="J101" s="72"/>
      <c r="L101" s="72"/>
      <c r="M101" s="72"/>
      <c r="N101" s="72"/>
      <c r="O101" s="72">
        <f t="shared" ca="1" si="12"/>
        <v>-0.2450787255951602</v>
      </c>
      <c r="P101" s="72"/>
      <c r="Q101" s="73">
        <f t="shared" si="16"/>
        <v>44482.1368</v>
      </c>
      <c r="S101" s="72">
        <f>+G101</f>
        <v>-0.13812399999733316</v>
      </c>
    </row>
    <row r="102" spans="1:19" s="26" customFormat="1" ht="12.95" customHeight="1" x14ac:dyDescent="0.2">
      <c r="A102" s="23" t="s">
        <v>326</v>
      </c>
      <c r="B102" s="24" t="s">
        <v>43</v>
      </c>
      <c r="C102" s="82">
        <v>59646.576500000003</v>
      </c>
      <c r="D102" s="81">
        <v>2.0000000000000001E-4</v>
      </c>
      <c r="E102" s="72">
        <f t="shared" si="14"/>
        <v>30830.371871623807</v>
      </c>
      <c r="F102" s="72">
        <f t="shared" si="13"/>
        <v>30831</v>
      </c>
      <c r="G102" s="72">
        <f t="shared" si="15"/>
        <v>-0.25953359999402892</v>
      </c>
      <c r="H102" s="72"/>
      <c r="I102" s="72"/>
      <c r="J102" s="72"/>
      <c r="K102" s="72">
        <f>+G102</f>
        <v>-0.25953359999402892</v>
      </c>
      <c r="L102" s="72"/>
      <c r="M102" s="72"/>
      <c r="N102" s="72"/>
      <c r="O102" s="72">
        <f t="shared" ca="1" si="12"/>
        <v>-0.24750765404758104</v>
      </c>
      <c r="P102" s="72"/>
      <c r="Q102" s="73">
        <f t="shared" si="16"/>
        <v>44628.076500000003</v>
      </c>
    </row>
    <row r="103" spans="1:19" s="26" customFormat="1" ht="12.95" customHeight="1" x14ac:dyDescent="0.2">
      <c r="A103" s="79" t="s">
        <v>329</v>
      </c>
      <c r="B103" s="80" t="s">
        <v>50</v>
      </c>
      <c r="C103" s="81">
        <v>60044.8724</v>
      </c>
      <c r="D103" s="81">
        <v>2.9999999999999997E-4</v>
      </c>
      <c r="E103" s="72">
        <f t="shared" ref="E103:E104" si="18">+(C103-C$7)/C$8</f>
        <v>31794.335523793674</v>
      </c>
      <c r="F103" s="72">
        <f t="shared" si="13"/>
        <v>31795</v>
      </c>
      <c r="G103" s="72">
        <f t="shared" ref="G103:G104" si="19">+C103-(C$7+F103*C$8)</f>
        <v>-0.27455199999531033</v>
      </c>
      <c r="H103" s="72"/>
      <c r="I103" s="72"/>
      <c r="J103" s="72"/>
      <c r="K103" s="72">
        <f t="shared" ref="K103:K104" si="20">+G103</f>
        <v>-0.27455199999531033</v>
      </c>
      <c r="L103" s="72"/>
      <c r="M103" s="72"/>
      <c r="N103" s="72"/>
      <c r="O103" s="72">
        <f t="shared" ref="O103:O104" ca="1" si="21">+C$11+C$12*F103</f>
        <v>-0.25413137972829869</v>
      </c>
      <c r="P103" s="72"/>
      <c r="Q103" s="73">
        <f t="shared" ref="Q103:Q104" si="22">+C103-15018.5</f>
        <v>45026.3724</v>
      </c>
    </row>
    <row r="104" spans="1:19" s="26" customFormat="1" ht="12.95" customHeight="1" x14ac:dyDescent="0.2">
      <c r="A104" s="79" t="s">
        <v>329</v>
      </c>
      <c r="B104" s="80" t="s">
        <v>50</v>
      </c>
      <c r="C104" s="81">
        <v>60047.766900000002</v>
      </c>
      <c r="D104" s="81">
        <v>2.9999999999999997E-4</v>
      </c>
      <c r="E104" s="72">
        <f t="shared" si="18"/>
        <v>31801.340850213572</v>
      </c>
      <c r="F104" s="72">
        <f t="shared" si="13"/>
        <v>31802</v>
      </c>
      <c r="G104" s="72">
        <f t="shared" si="19"/>
        <v>-0.2723511999938637</v>
      </c>
      <c r="H104" s="72"/>
      <c r="I104" s="72"/>
      <c r="J104" s="72"/>
      <c r="K104" s="72">
        <f t="shared" si="20"/>
        <v>-0.2723511999938637</v>
      </c>
      <c r="L104" s="72"/>
      <c r="M104" s="72"/>
      <c r="N104" s="72"/>
      <c r="O104" s="72">
        <f t="shared" ca="1" si="21"/>
        <v>-0.25417947732141594</v>
      </c>
      <c r="P104" s="72"/>
      <c r="Q104" s="73">
        <f t="shared" si="22"/>
        <v>45029.266900000002</v>
      </c>
    </row>
    <row r="105" spans="1:19" s="26" customFormat="1" ht="12.95" customHeight="1" x14ac:dyDescent="0.2">
      <c r="C105" s="71"/>
      <c r="D105" s="71"/>
    </row>
    <row r="106" spans="1:19" s="26" customFormat="1" ht="12.95" customHeight="1" x14ac:dyDescent="0.2">
      <c r="C106" s="71"/>
      <c r="D106" s="71"/>
    </row>
    <row r="107" spans="1:19" s="26" customFormat="1" ht="12.95" customHeight="1" x14ac:dyDescent="0.2">
      <c r="C107" s="71"/>
      <c r="D107" s="71"/>
    </row>
    <row r="108" spans="1:19" s="26" customFormat="1" ht="12.95" customHeight="1" x14ac:dyDescent="0.2">
      <c r="C108" s="71"/>
      <c r="D108" s="71"/>
    </row>
    <row r="109" spans="1:19" s="26" customFormat="1" ht="12.95" customHeight="1" x14ac:dyDescent="0.2">
      <c r="C109" s="71"/>
      <c r="D109" s="71"/>
    </row>
    <row r="110" spans="1:19" s="26" customFormat="1" ht="12.95" customHeight="1" x14ac:dyDescent="0.2">
      <c r="C110" s="71"/>
      <c r="D110" s="71"/>
    </row>
    <row r="111" spans="1:19" s="26" customFormat="1" ht="12.95" customHeight="1" x14ac:dyDescent="0.2">
      <c r="C111" s="71"/>
      <c r="D111" s="71"/>
    </row>
    <row r="112" spans="1:19" s="26" customFormat="1" ht="12.95" customHeight="1" x14ac:dyDescent="0.2">
      <c r="C112" s="71"/>
      <c r="D112" s="71"/>
    </row>
    <row r="113" spans="3:4" s="26" customFormat="1" ht="12.95" customHeight="1" x14ac:dyDescent="0.2">
      <c r="C113" s="71"/>
      <c r="D113" s="71"/>
    </row>
    <row r="114" spans="3:4" s="26" customFormat="1" ht="12.95" customHeight="1" x14ac:dyDescent="0.2">
      <c r="C114" s="71"/>
      <c r="D114" s="71"/>
    </row>
    <row r="115" spans="3:4" s="26" customFormat="1" ht="12.95" customHeight="1" x14ac:dyDescent="0.2">
      <c r="C115" s="71"/>
      <c r="D115" s="71"/>
    </row>
    <row r="116" spans="3:4" s="26" customFormat="1" ht="12.95" customHeight="1" x14ac:dyDescent="0.2">
      <c r="C116" s="71"/>
      <c r="D116" s="71"/>
    </row>
    <row r="117" spans="3:4" s="26" customFormat="1" ht="12.95" customHeight="1" x14ac:dyDescent="0.2">
      <c r="C117" s="71"/>
      <c r="D117" s="71"/>
    </row>
    <row r="118" spans="3:4" s="26" customFormat="1" ht="12.95" customHeight="1" x14ac:dyDescent="0.2">
      <c r="C118" s="71"/>
      <c r="D118" s="71"/>
    </row>
    <row r="119" spans="3:4" s="26" customFormat="1" ht="12.95" customHeight="1" x14ac:dyDescent="0.2">
      <c r="C119" s="71"/>
      <c r="D119" s="71"/>
    </row>
    <row r="120" spans="3:4" s="26" customFormat="1" ht="12.95" customHeight="1" x14ac:dyDescent="0.2">
      <c r="C120" s="71"/>
      <c r="D120" s="71"/>
    </row>
    <row r="121" spans="3:4" s="26" customFormat="1" ht="12.95" customHeight="1" x14ac:dyDescent="0.2">
      <c r="C121" s="71"/>
      <c r="D121" s="71"/>
    </row>
    <row r="122" spans="3:4" s="26" customFormat="1" ht="12.95" customHeight="1" x14ac:dyDescent="0.2">
      <c r="C122" s="71"/>
      <c r="D122" s="71"/>
    </row>
    <row r="123" spans="3:4" s="26" customFormat="1" ht="12.95" customHeight="1" x14ac:dyDescent="0.2"/>
    <row r="124" spans="3:4" s="26" customFormat="1" ht="12.95" customHeight="1" x14ac:dyDescent="0.2"/>
    <row r="125" spans="3:4" s="26" customFormat="1" ht="12.95" customHeight="1" x14ac:dyDescent="0.2"/>
    <row r="126" spans="3:4" s="26" customFormat="1" ht="12.95" customHeight="1" x14ac:dyDescent="0.2"/>
    <row r="127" spans="3:4" s="26" customFormat="1" ht="12.95" customHeight="1" x14ac:dyDescent="0.2"/>
    <row r="128" spans="3:4" s="26" customFormat="1" ht="12.95" customHeight="1" x14ac:dyDescent="0.2"/>
    <row r="129" s="26" customFormat="1" ht="12.95" customHeight="1" x14ac:dyDescent="0.2"/>
    <row r="130" s="26" customFormat="1" ht="12.95" customHeight="1" x14ac:dyDescent="0.2"/>
    <row r="131" s="26" customFormat="1" ht="12.95" customHeight="1" x14ac:dyDescent="0.2"/>
    <row r="132" s="26" customFormat="1" ht="12.95" customHeight="1" x14ac:dyDescent="0.2"/>
    <row r="133" s="26" customFormat="1" ht="12.95" customHeight="1" x14ac:dyDescent="0.2"/>
    <row r="134" s="26" customFormat="1" ht="12.95" customHeight="1" x14ac:dyDescent="0.2"/>
    <row r="135" s="26" customFormat="1" ht="12.95" customHeight="1" x14ac:dyDescent="0.2"/>
    <row r="136" s="26" customFormat="1" ht="12.95" customHeight="1" x14ac:dyDescent="0.2"/>
    <row r="137" s="26" customFormat="1" ht="12.95" customHeight="1" x14ac:dyDescent="0.2"/>
    <row r="138" s="26" customFormat="1" ht="12.95" customHeight="1" x14ac:dyDescent="0.2"/>
    <row r="139" s="26" customFormat="1" ht="12.95" customHeight="1" x14ac:dyDescent="0.2"/>
    <row r="140" s="26" customFormat="1" ht="12.95" customHeight="1" x14ac:dyDescent="0.2"/>
    <row r="141" s="26" customFormat="1" ht="12.95" customHeight="1" x14ac:dyDescent="0.2"/>
    <row r="142" s="26" customFormat="1" ht="12.95" customHeight="1" x14ac:dyDescent="0.2"/>
    <row r="143" s="26" customFormat="1" ht="12.95" customHeight="1" x14ac:dyDescent="0.2"/>
    <row r="144" s="26" customFormat="1" ht="12.95" customHeight="1" x14ac:dyDescent="0.2"/>
    <row r="145" s="26" customFormat="1" ht="12.95" customHeight="1" x14ac:dyDescent="0.2"/>
    <row r="146" s="26" customFormat="1" ht="12.95" customHeight="1" x14ac:dyDescent="0.2"/>
    <row r="147" s="26" customFormat="1" ht="12.95" customHeight="1" x14ac:dyDescent="0.2"/>
    <row r="148" s="26" customFormat="1" ht="12.95" customHeight="1" x14ac:dyDescent="0.2"/>
    <row r="149" s="26" customFormat="1" ht="12.95" customHeight="1" x14ac:dyDescent="0.2"/>
    <row r="150" s="26" customFormat="1" ht="12.95" customHeight="1" x14ac:dyDescent="0.2"/>
    <row r="151" s="26" customFormat="1" ht="12.95" customHeight="1" x14ac:dyDescent="0.2"/>
    <row r="152" s="26" customFormat="1" ht="12.95" customHeight="1" x14ac:dyDescent="0.2"/>
    <row r="153" s="26" customFormat="1" ht="12.95" customHeight="1" x14ac:dyDescent="0.2"/>
    <row r="154" s="26" customFormat="1" ht="12.95" customHeight="1" x14ac:dyDescent="0.2"/>
    <row r="155" s="26" customFormat="1" ht="12.95" customHeight="1" x14ac:dyDescent="0.2"/>
    <row r="156" s="26" customFormat="1" ht="12.95" customHeight="1" x14ac:dyDescent="0.2"/>
    <row r="157" s="26" customFormat="1" ht="12.95" customHeight="1" x14ac:dyDescent="0.2"/>
    <row r="158" s="26" customFormat="1" ht="12.95" customHeight="1" x14ac:dyDescent="0.2"/>
    <row r="159" s="26" customFormat="1" ht="12.95" customHeight="1" x14ac:dyDescent="0.2"/>
    <row r="160" s="26" customFormat="1" ht="12.95" customHeight="1" x14ac:dyDescent="0.2"/>
    <row r="161" s="26" customFormat="1" ht="12.95" customHeight="1" x14ac:dyDescent="0.2"/>
    <row r="162" s="26" customFormat="1" ht="12.95" customHeight="1" x14ac:dyDescent="0.2"/>
    <row r="163" s="26" customFormat="1" ht="12.95" customHeight="1" x14ac:dyDescent="0.2"/>
    <row r="164" s="26" customFormat="1" ht="12.95" customHeight="1" x14ac:dyDescent="0.2"/>
    <row r="165" s="26" customFormat="1" ht="12.95" customHeight="1" x14ac:dyDescent="0.2"/>
    <row r="166" s="26" customFormat="1" ht="12.95" customHeight="1" x14ac:dyDescent="0.2"/>
    <row r="167" s="26" customFormat="1" ht="12.95" customHeight="1" x14ac:dyDescent="0.2"/>
  </sheetData>
  <sortState xmlns:xlrd2="http://schemas.microsoft.com/office/spreadsheetml/2017/richdata2" ref="A21:T102">
    <sortCondition ref="C21:C102"/>
  </sortState>
  <phoneticPr fontId="7" type="noConversion"/>
  <hyperlinks>
    <hyperlink ref="H64647" r:id="rId1" display="http://vsolj.cetus-net.org/bulletin.html" xr:uid="{00000000-0004-0000-0000-000000000000}"/>
    <hyperlink ref="H64640" r:id="rId2" display="https://www.aavso.org/ejaavso" xr:uid="{00000000-0004-0000-0000-000001000000}"/>
    <hyperlink ref="AP791" r:id="rId3" display="http://cdsbib.u-strasbg.fr/cgi-bin/cdsbib?1990RMxAA..21..381G" xr:uid="{00000000-0004-0000-0000-000002000000}"/>
    <hyperlink ref="AP795" r:id="rId4" display="http://cdsbib.u-strasbg.fr/cgi-bin/cdsbib?1990RMxAA..21..381G" xr:uid="{00000000-0004-0000-0000-000003000000}"/>
    <hyperlink ref="AP794" r:id="rId5" display="http://cdsbib.u-strasbg.fr/cgi-bin/cdsbib?1990RMxAA..21..381G" xr:uid="{00000000-0004-0000-0000-000004000000}"/>
    <hyperlink ref="AP775" r:id="rId6" display="http://cdsbib.u-strasbg.fr/cgi-bin/cdsbib?1990RMxAA..21..381G" xr:uid="{00000000-0004-0000-0000-000005000000}"/>
    <hyperlink ref="I64647" r:id="rId7" display="http://vsolj.cetus-net.org/bulletin.html" xr:uid="{00000000-0004-0000-0000-000006000000}"/>
    <hyperlink ref="AQ931" r:id="rId8" display="http://cdsbib.u-strasbg.fr/cgi-bin/cdsbib?1990RMxAA..21..381G" xr:uid="{00000000-0004-0000-0000-000007000000}"/>
    <hyperlink ref="AQ55697" r:id="rId9" display="http://cdsbib.u-strasbg.fr/cgi-bin/cdsbib?1990RMxAA..21..381G" xr:uid="{00000000-0004-0000-0000-000008000000}"/>
    <hyperlink ref="AQ932" r:id="rId10" display="http://cdsbib.u-strasbg.fr/cgi-bin/cdsbib?1990RMxAA..21..381G" xr:uid="{00000000-0004-0000-0000-000009000000}"/>
    <hyperlink ref="H64644" r:id="rId11" display="https://www.aavso.org/ejaavso" xr:uid="{00000000-0004-0000-0000-00000A000000}"/>
    <hyperlink ref="H1817" r:id="rId12" display="http://vsolj.cetus-net.org/bulletin.html" xr:uid="{00000000-0004-0000-0000-00000B000000}"/>
    <hyperlink ref="AP3061" r:id="rId13" display="http://cdsbib.u-strasbg.fr/cgi-bin/cdsbib?1990RMxAA..21..381G" xr:uid="{00000000-0004-0000-0000-00000C000000}"/>
    <hyperlink ref="AP3064" r:id="rId14" display="http://cdsbib.u-strasbg.fr/cgi-bin/cdsbib?1990RMxAA..21..381G" xr:uid="{00000000-0004-0000-0000-00000D000000}"/>
    <hyperlink ref="AP3062" r:id="rId15" display="http://cdsbib.u-strasbg.fr/cgi-bin/cdsbib?1990RMxAA..21..381G" xr:uid="{00000000-0004-0000-0000-00000E000000}"/>
    <hyperlink ref="AP3046" r:id="rId16" display="http://cdsbib.u-strasbg.fr/cgi-bin/cdsbib?1990RMxAA..21..381G" xr:uid="{00000000-0004-0000-0000-00000F000000}"/>
    <hyperlink ref="I1817" r:id="rId17" display="http://vsolj.cetus-net.org/bulletin.html" xr:uid="{00000000-0004-0000-0000-000010000000}"/>
    <hyperlink ref="AQ3275" r:id="rId18" display="http://cdsbib.u-strasbg.fr/cgi-bin/cdsbib?1990RMxAA..21..381G" xr:uid="{00000000-0004-0000-0000-000011000000}"/>
    <hyperlink ref="AQ65512" r:id="rId19" display="http://cdsbib.u-strasbg.fr/cgi-bin/cdsbib?1990RMxAA..21..381G" xr:uid="{00000000-0004-0000-0000-000012000000}"/>
    <hyperlink ref="AQ3279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31" workbookViewId="0">
      <selection activeCell="A51" sqref="A51:D63"/>
    </sheetView>
  </sheetViews>
  <sheetFormatPr defaultRowHeight="12.75" x14ac:dyDescent="0.2"/>
  <cols>
    <col min="1" max="1" width="19.7109375" style="10" customWidth="1"/>
    <col min="2" max="2" width="4.42578125" style="3" customWidth="1"/>
    <col min="3" max="3" width="12.7109375" style="10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0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9" t="s">
        <v>80</v>
      </c>
      <c r="I1" s="11" t="s">
        <v>81</v>
      </c>
      <c r="J1" s="12" t="s">
        <v>82</v>
      </c>
    </row>
    <row r="2" spans="1:16" x14ac:dyDescent="0.2">
      <c r="I2" s="13" t="s">
        <v>83</v>
      </c>
      <c r="J2" s="14" t="s">
        <v>84</v>
      </c>
    </row>
    <row r="3" spans="1:16" x14ac:dyDescent="0.2">
      <c r="A3" s="15" t="s">
        <v>85</v>
      </c>
      <c r="I3" s="13" t="s">
        <v>86</v>
      </c>
      <c r="J3" s="14" t="s">
        <v>87</v>
      </c>
    </row>
    <row r="4" spans="1:16" x14ac:dyDescent="0.2">
      <c r="I4" s="13" t="s">
        <v>88</v>
      </c>
      <c r="J4" s="14" t="s">
        <v>87</v>
      </c>
    </row>
    <row r="5" spans="1:16" ht="13.5" thickBot="1" x14ac:dyDescent="0.25">
      <c r="I5" s="16" t="s">
        <v>89</v>
      </c>
      <c r="J5" s="17" t="s">
        <v>90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3090 </v>
      </c>
      <c r="B11" s="2" t="str">
        <f t="shared" ref="B11:B42" si="1">IF(H11=INT(H11),"I","II")</f>
        <v>II</v>
      </c>
      <c r="C11" s="10">
        <f t="shared" ref="C11:C42" si="2">1*G11</f>
        <v>46907.910799999998</v>
      </c>
      <c r="D11" s="3" t="str">
        <f t="shared" ref="D11:D42" si="3">VLOOKUP(F11,I$1:J$5,2,FALSE)</f>
        <v>vis</v>
      </c>
      <c r="E11" s="18">
        <f>VLOOKUP(C11,Active!C$21:E$969,3,FALSE)</f>
        <v>0</v>
      </c>
      <c r="F11" s="2" t="s">
        <v>89</v>
      </c>
      <c r="G11" s="3" t="str">
        <f t="shared" ref="G11:G42" si="4">MID(I11,3,LEN(I11)-3)</f>
        <v>46907.9108</v>
      </c>
      <c r="H11" s="10">
        <f t="shared" ref="H11:H42" si="5">1*K11</f>
        <v>-13536.5</v>
      </c>
      <c r="I11" s="19" t="s">
        <v>101</v>
      </c>
      <c r="J11" s="20" t="s">
        <v>102</v>
      </c>
      <c r="K11" s="19">
        <v>-13536.5</v>
      </c>
      <c r="L11" s="19" t="s">
        <v>103</v>
      </c>
      <c r="M11" s="20" t="s">
        <v>94</v>
      </c>
      <c r="N11" s="20" t="s">
        <v>95</v>
      </c>
      <c r="O11" s="21" t="s">
        <v>104</v>
      </c>
      <c r="P11" s="22" t="s">
        <v>105</v>
      </c>
    </row>
    <row r="12" spans="1:16" ht="12.75" customHeight="1" thickBot="1" x14ac:dyDescent="0.25">
      <c r="A12" s="10" t="str">
        <f t="shared" si="0"/>
        <v> BBS 109 </v>
      </c>
      <c r="B12" s="2" t="str">
        <f t="shared" si="1"/>
        <v>I</v>
      </c>
      <c r="C12" s="10">
        <f t="shared" si="2"/>
        <v>47361.377999999997</v>
      </c>
      <c r="D12" s="3" t="str">
        <f t="shared" si="3"/>
        <v>vis</v>
      </c>
      <c r="E12" s="18">
        <f>VLOOKUP(C12,Active!C$21:E$969,3,FALSE)</f>
        <v>1097.4903288013888</v>
      </c>
      <c r="F12" s="2" t="s">
        <v>89</v>
      </c>
      <c r="G12" s="3" t="str">
        <f t="shared" si="4"/>
        <v>47361.378</v>
      </c>
      <c r="H12" s="10">
        <f t="shared" si="5"/>
        <v>-12439</v>
      </c>
      <c r="I12" s="19" t="s">
        <v>106</v>
      </c>
      <c r="J12" s="20" t="s">
        <v>107</v>
      </c>
      <c r="K12" s="19">
        <v>-12439</v>
      </c>
      <c r="L12" s="19" t="s">
        <v>108</v>
      </c>
      <c r="M12" s="20" t="s">
        <v>109</v>
      </c>
      <c r="N12" s="20"/>
      <c r="O12" s="21" t="s">
        <v>110</v>
      </c>
      <c r="P12" s="21" t="s">
        <v>111</v>
      </c>
    </row>
    <row r="13" spans="1:16" ht="12.75" customHeight="1" thickBot="1" x14ac:dyDescent="0.25">
      <c r="A13" s="10" t="str">
        <f t="shared" si="0"/>
        <v> BBS 109 </v>
      </c>
      <c r="B13" s="2" t="str">
        <f t="shared" si="1"/>
        <v>II</v>
      </c>
      <c r="C13" s="10">
        <f t="shared" si="2"/>
        <v>47362.385999999999</v>
      </c>
      <c r="D13" s="3" t="str">
        <f t="shared" si="3"/>
        <v>vis</v>
      </c>
      <c r="E13" s="18">
        <f>VLOOKUP(C13,Active!C$21:E$969,3,FALSE)</f>
        <v>1099.9299104325048</v>
      </c>
      <c r="F13" s="2" t="s">
        <v>89</v>
      </c>
      <c r="G13" s="3" t="str">
        <f t="shared" si="4"/>
        <v>47362.386</v>
      </c>
      <c r="H13" s="10">
        <f t="shared" si="5"/>
        <v>-12436.5</v>
      </c>
      <c r="I13" s="19" t="s">
        <v>112</v>
      </c>
      <c r="J13" s="20" t="s">
        <v>113</v>
      </c>
      <c r="K13" s="19">
        <v>-12436.5</v>
      </c>
      <c r="L13" s="19" t="s">
        <v>114</v>
      </c>
      <c r="M13" s="20" t="s">
        <v>109</v>
      </c>
      <c r="N13" s="20"/>
      <c r="O13" s="21" t="s">
        <v>110</v>
      </c>
      <c r="P13" s="21" t="s">
        <v>111</v>
      </c>
    </row>
    <row r="14" spans="1:16" ht="12.75" customHeight="1" thickBot="1" x14ac:dyDescent="0.25">
      <c r="A14" s="10" t="str">
        <f t="shared" si="0"/>
        <v> BBS 109 </v>
      </c>
      <c r="B14" s="2" t="str">
        <f t="shared" si="1"/>
        <v>I</v>
      </c>
      <c r="C14" s="10">
        <f t="shared" si="2"/>
        <v>47363.451999999997</v>
      </c>
      <c r="D14" s="3" t="str">
        <f t="shared" si="3"/>
        <v>vis</v>
      </c>
      <c r="E14" s="18">
        <f>VLOOKUP(C14,Active!C$21:E$969,3,FALSE)</f>
        <v>1102.5098648161979</v>
      </c>
      <c r="F14" s="2" t="s">
        <v>89</v>
      </c>
      <c r="G14" s="3" t="str">
        <f t="shared" si="4"/>
        <v>47363.452</v>
      </c>
      <c r="H14" s="10">
        <f t="shared" si="5"/>
        <v>-12434</v>
      </c>
      <c r="I14" s="19" t="s">
        <v>115</v>
      </c>
      <c r="J14" s="20" t="s">
        <v>116</v>
      </c>
      <c r="K14" s="19">
        <v>-12434</v>
      </c>
      <c r="L14" s="19" t="s">
        <v>117</v>
      </c>
      <c r="M14" s="20" t="s">
        <v>109</v>
      </c>
      <c r="N14" s="20"/>
      <c r="O14" s="21" t="s">
        <v>110</v>
      </c>
      <c r="P14" s="21" t="s">
        <v>111</v>
      </c>
    </row>
    <row r="15" spans="1:16" ht="12.75" customHeight="1" thickBot="1" x14ac:dyDescent="0.25">
      <c r="A15" s="10" t="str">
        <f t="shared" si="0"/>
        <v> BBS 101 </v>
      </c>
      <c r="B15" s="2" t="str">
        <f t="shared" si="1"/>
        <v>I</v>
      </c>
      <c r="C15" s="10">
        <f t="shared" si="2"/>
        <v>48749.462</v>
      </c>
      <c r="D15" s="3" t="str">
        <f t="shared" si="3"/>
        <v>vis</v>
      </c>
      <c r="E15" s="18">
        <f>VLOOKUP(C15,Active!C$21:E$969,3,FALSE)</f>
        <v>4456.9588097939568</v>
      </c>
      <c r="F15" s="2" t="s">
        <v>89</v>
      </c>
      <c r="G15" s="3" t="str">
        <f t="shared" si="4"/>
        <v>48749.462</v>
      </c>
      <c r="H15" s="10">
        <f t="shared" si="5"/>
        <v>-9079</v>
      </c>
      <c r="I15" s="19" t="s">
        <v>118</v>
      </c>
      <c r="J15" s="20" t="s">
        <v>119</v>
      </c>
      <c r="K15" s="19">
        <v>-9079</v>
      </c>
      <c r="L15" s="19" t="s">
        <v>120</v>
      </c>
      <c r="M15" s="20" t="s">
        <v>109</v>
      </c>
      <c r="N15" s="20"/>
      <c r="O15" s="21" t="s">
        <v>121</v>
      </c>
      <c r="P15" s="21" t="s">
        <v>122</v>
      </c>
    </row>
    <row r="16" spans="1:16" ht="12.75" customHeight="1" thickBot="1" x14ac:dyDescent="0.25">
      <c r="A16" s="10" t="str">
        <f t="shared" si="0"/>
        <v> BBS 104 </v>
      </c>
      <c r="B16" s="2" t="str">
        <f t="shared" si="1"/>
        <v>I</v>
      </c>
      <c r="C16" s="10">
        <f t="shared" si="2"/>
        <v>49198.383999999998</v>
      </c>
      <c r="D16" s="3" t="str">
        <f t="shared" si="3"/>
        <v>vis</v>
      </c>
      <c r="E16" s="18">
        <f>VLOOKUP(C16,Active!C$21:E$969,3,FALSE)</f>
        <v>5543.4487552325163</v>
      </c>
      <c r="F16" s="2" t="s">
        <v>89</v>
      </c>
      <c r="G16" s="3" t="str">
        <f t="shared" si="4"/>
        <v>49198.3840</v>
      </c>
      <c r="H16" s="10">
        <f t="shared" si="5"/>
        <v>-7992</v>
      </c>
      <c r="I16" s="19" t="s">
        <v>123</v>
      </c>
      <c r="J16" s="20" t="s">
        <v>124</v>
      </c>
      <c r="K16" s="19">
        <v>-7992</v>
      </c>
      <c r="L16" s="19" t="s">
        <v>125</v>
      </c>
      <c r="M16" s="20" t="s">
        <v>94</v>
      </c>
      <c r="N16" s="20" t="s">
        <v>30</v>
      </c>
      <c r="O16" s="21" t="s">
        <v>126</v>
      </c>
      <c r="P16" s="21" t="s">
        <v>127</v>
      </c>
    </row>
    <row r="17" spans="1:16" ht="12.75" customHeight="1" thickBot="1" x14ac:dyDescent="0.25">
      <c r="A17" s="10" t="str">
        <f t="shared" si="0"/>
        <v> BBS 109 </v>
      </c>
      <c r="B17" s="2" t="str">
        <f t="shared" si="1"/>
        <v>I</v>
      </c>
      <c r="C17" s="10">
        <f t="shared" si="2"/>
        <v>49568.404999999999</v>
      </c>
      <c r="D17" s="3" t="str">
        <f t="shared" si="3"/>
        <v>vis</v>
      </c>
      <c r="E17" s="18">
        <f>VLOOKUP(C17,Active!C$21:E$969,3,FALSE)</f>
        <v>6438.9809325397619</v>
      </c>
      <c r="F17" s="2" t="s">
        <v>89</v>
      </c>
      <c r="G17" s="3" t="str">
        <f t="shared" si="4"/>
        <v>49568.405</v>
      </c>
      <c r="H17" s="10">
        <f t="shared" si="5"/>
        <v>-7097</v>
      </c>
      <c r="I17" s="19" t="s">
        <v>132</v>
      </c>
      <c r="J17" s="20" t="s">
        <v>133</v>
      </c>
      <c r="K17" s="19">
        <v>-7097</v>
      </c>
      <c r="L17" s="19" t="s">
        <v>134</v>
      </c>
      <c r="M17" s="20" t="s">
        <v>109</v>
      </c>
      <c r="N17" s="20"/>
      <c r="O17" s="21" t="s">
        <v>110</v>
      </c>
      <c r="P17" s="21" t="s">
        <v>111</v>
      </c>
    </row>
    <row r="18" spans="1:16" ht="12.75" customHeight="1" thickBot="1" x14ac:dyDescent="0.25">
      <c r="A18" s="10" t="str">
        <f t="shared" si="0"/>
        <v> BBS 109 </v>
      </c>
      <c r="B18" s="2" t="str">
        <f t="shared" si="1"/>
        <v>I</v>
      </c>
      <c r="C18" s="10">
        <f t="shared" si="2"/>
        <v>49569.417000000001</v>
      </c>
      <c r="D18" s="3" t="str">
        <f t="shared" si="3"/>
        <v>vis</v>
      </c>
      <c r="E18" s="18">
        <f>VLOOKUP(C18,Active!C$21:E$969,3,FALSE)</f>
        <v>6441.4301950503686</v>
      </c>
      <c r="F18" s="2" t="s">
        <v>89</v>
      </c>
      <c r="G18" s="3" t="str">
        <f t="shared" si="4"/>
        <v>49569.417</v>
      </c>
      <c r="H18" s="10">
        <f t="shared" si="5"/>
        <v>-7094</v>
      </c>
      <c r="I18" s="19" t="s">
        <v>135</v>
      </c>
      <c r="J18" s="20" t="s">
        <v>136</v>
      </c>
      <c r="K18" s="19">
        <v>-7094</v>
      </c>
      <c r="L18" s="19" t="s">
        <v>137</v>
      </c>
      <c r="M18" s="20" t="s">
        <v>109</v>
      </c>
      <c r="N18" s="20"/>
      <c r="O18" s="21" t="s">
        <v>110</v>
      </c>
      <c r="P18" s="21" t="s">
        <v>111</v>
      </c>
    </row>
    <row r="19" spans="1:16" ht="12.75" customHeight="1" thickBot="1" x14ac:dyDescent="0.25">
      <c r="A19" s="10" t="str">
        <f t="shared" si="0"/>
        <v> BBS 110 </v>
      </c>
      <c r="B19" s="2" t="str">
        <f t="shared" si="1"/>
        <v>I</v>
      </c>
      <c r="C19" s="10">
        <f t="shared" si="2"/>
        <v>49877.438999999998</v>
      </c>
      <c r="D19" s="3" t="str">
        <f t="shared" si="3"/>
        <v>vis</v>
      </c>
      <c r="E19" s="18">
        <f>VLOOKUP(C19,Active!C$21:E$969,3,FALSE)</f>
        <v>7186.9111605051112</v>
      </c>
      <c r="F19" s="2" t="s">
        <v>89</v>
      </c>
      <c r="G19" s="3" t="str">
        <f t="shared" si="4"/>
        <v>49877.439</v>
      </c>
      <c r="H19" s="10">
        <f t="shared" si="5"/>
        <v>-6349</v>
      </c>
      <c r="I19" s="19" t="s">
        <v>138</v>
      </c>
      <c r="J19" s="20" t="s">
        <v>139</v>
      </c>
      <c r="K19" s="19">
        <v>-6349</v>
      </c>
      <c r="L19" s="19" t="s">
        <v>140</v>
      </c>
      <c r="M19" s="20" t="s">
        <v>109</v>
      </c>
      <c r="N19" s="20"/>
      <c r="O19" s="21" t="s">
        <v>141</v>
      </c>
      <c r="P19" s="21" t="s">
        <v>142</v>
      </c>
    </row>
    <row r="20" spans="1:16" ht="12.75" customHeight="1" thickBot="1" x14ac:dyDescent="0.25">
      <c r="A20" s="10" t="str">
        <f t="shared" si="0"/>
        <v> BBS 110 </v>
      </c>
      <c r="B20" s="2" t="str">
        <f t="shared" si="1"/>
        <v>I</v>
      </c>
      <c r="C20" s="10">
        <f t="shared" si="2"/>
        <v>49896.449000000001</v>
      </c>
      <c r="D20" s="3" t="str">
        <f t="shared" si="3"/>
        <v>vis</v>
      </c>
      <c r="E20" s="18">
        <f>VLOOKUP(C20,Active!C$21:E$969,3,FALSE)</f>
        <v>7232.9195402744017</v>
      </c>
      <c r="F20" s="2" t="s">
        <v>89</v>
      </c>
      <c r="G20" s="3" t="str">
        <f t="shared" si="4"/>
        <v>49896.449</v>
      </c>
      <c r="H20" s="10">
        <f t="shared" si="5"/>
        <v>-6303</v>
      </c>
      <c r="I20" s="19" t="s">
        <v>143</v>
      </c>
      <c r="J20" s="20" t="s">
        <v>144</v>
      </c>
      <c r="K20" s="19">
        <v>-6303</v>
      </c>
      <c r="L20" s="19" t="s">
        <v>145</v>
      </c>
      <c r="M20" s="20" t="s">
        <v>109</v>
      </c>
      <c r="N20" s="20"/>
      <c r="O20" s="21" t="s">
        <v>141</v>
      </c>
      <c r="P20" s="21" t="s">
        <v>142</v>
      </c>
    </row>
    <row r="21" spans="1:16" ht="12.75" customHeight="1" thickBot="1" x14ac:dyDescent="0.25">
      <c r="A21" s="10" t="str">
        <f t="shared" si="0"/>
        <v> BBS 110 </v>
      </c>
      <c r="B21" s="2" t="str">
        <f t="shared" si="1"/>
        <v>I</v>
      </c>
      <c r="C21" s="10">
        <f t="shared" si="2"/>
        <v>49897.478000000003</v>
      </c>
      <c r="D21" s="3" t="str">
        <f t="shared" si="3"/>
        <v>vis</v>
      </c>
      <c r="E21" s="18">
        <f>VLOOKUP(C21,Active!C$21:E$969,3,FALSE)</f>
        <v>7235.4099465228337</v>
      </c>
      <c r="F21" s="2" t="s">
        <v>89</v>
      </c>
      <c r="G21" s="3" t="str">
        <f t="shared" si="4"/>
        <v>49897.478</v>
      </c>
      <c r="H21" s="10">
        <f t="shared" si="5"/>
        <v>-6300</v>
      </c>
      <c r="I21" s="19" t="s">
        <v>146</v>
      </c>
      <c r="J21" s="20" t="s">
        <v>147</v>
      </c>
      <c r="K21" s="19">
        <v>-6300</v>
      </c>
      <c r="L21" s="19" t="s">
        <v>148</v>
      </c>
      <c r="M21" s="20" t="s">
        <v>109</v>
      </c>
      <c r="N21" s="20"/>
      <c r="O21" s="21" t="s">
        <v>141</v>
      </c>
      <c r="P21" s="21" t="s">
        <v>142</v>
      </c>
    </row>
    <row r="22" spans="1:16" ht="12.75" customHeight="1" thickBot="1" x14ac:dyDescent="0.25">
      <c r="A22" s="10" t="str">
        <f t="shared" si="0"/>
        <v>IBVS 5027 </v>
      </c>
      <c r="B22" s="2" t="str">
        <f t="shared" si="1"/>
        <v>II</v>
      </c>
      <c r="C22" s="10">
        <f t="shared" si="2"/>
        <v>51275.834499999997</v>
      </c>
      <c r="D22" s="3" t="str">
        <f t="shared" si="3"/>
        <v>vis</v>
      </c>
      <c r="E22" s="18">
        <f>VLOOKUP(C22,Active!C$21:E$969,3,FALSE)</f>
        <v>10571.335738709189</v>
      </c>
      <c r="F22" s="2" t="s">
        <v>89</v>
      </c>
      <c r="G22" s="3" t="str">
        <f t="shared" si="4"/>
        <v>51275.8345</v>
      </c>
      <c r="H22" s="10">
        <f t="shared" si="5"/>
        <v>-2963.5</v>
      </c>
      <c r="I22" s="19" t="s">
        <v>149</v>
      </c>
      <c r="J22" s="20" t="s">
        <v>150</v>
      </c>
      <c r="K22" s="19">
        <v>-2963.5</v>
      </c>
      <c r="L22" s="19" t="s">
        <v>151</v>
      </c>
      <c r="M22" s="20" t="s">
        <v>94</v>
      </c>
      <c r="N22" s="20" t="s">
        <v>95</v>
      </c>
      <c r="O22" s="21" t="s">
        <v>126</v>
      </c>
      <c r="P22" s="22" t="s">
        <v>152</v>
      </c>
    </row>
    <row r="23" spans="1:16" ht="12.75" customHeight="1" thickBot="1" x14ac:dyDescent="0.25">
      <c r="A23" s="10" t="str">
        <f t="shared" si="0"/>
        <v>IBVS 5027 </v>
      </c>
      <c r="B23" s="2" t="str">
        <f t="shared" si="1"/>
        <v>I</v>
      </c>
      <c r="C23" s="10">
        <f t="shared" si="2"/>
        <v>51288.846599999997</v>
      </c>
      <c r="D23" s="3" t="str">
        <f t="shared" si="3"/>
        <v>vis</v>
      </c>
      <c r="E23" s="18">
        <f>VLOOKUP(C23,Active!C$21:E$969,3,FALSE)</f>
        <v>10602.827881707395</v>
      </c>
      <c r="F23" s="2" t="s">
        <v>89</v>
      </c>
      <c r="G23" s="3" t="str">
        <f t="shared" si="4"/>
        <v>51288.8466</v>
      </c>
      <c r="H23" s="10">
        <f t="shared" si="5"/>
        <v>-2932</v>
      </c>
      <c r="I23" s="19" t="s">
        <v>153</v>
      </c>
      <c r="J23" s="20" t="s">
        <v>154</v>
      </c>
      <c r="K23" s="19">
        <v>-2932</v>
      </c>
      <c r="L23" s="19" t="s">
        <v>155</v>
      </c>
      <c r="M23" s="20" t="s">
        <v>94</v>
      </c>
      <c r="N23" s="20" t="s">
        <v>95</v>
      </c>
      <c r="O23" s="21" t="s">
        <v>126</v>
      </c>
      <c r="P23" s="22" t="s">
        <v>152</v>
      </c>
    </row>
    <row r="24" spans="1:16" ht="12.75" customHeight="1" thickBot="1" x14ac:dyDescent="0.25">
      <c r="A24" s="10" t="str">
        <f t="shared" si="0"/>
        <v>IBVS 5677 </v>
      </c>
      <c r="B24" s="2" t="str">
        <f t="shared" si="1"/>
        <v>I</v>
      </c>
      <c r="C24" s="10">
        <f t="shared" si="2"/>
        <v>53638.572899999999</v>
      </c>
      <c r="D24" s="3" t="str">
        <f t="shared" si="3"/>
        <v>vis</v>
      </c>
      <c r="E24" s="18">
        <f>VLOOKUP(C24,Active!C$21:E$969,3,FALSE)</f>
        <v>16289.682167045516</v>
      </c>
      <c r="F24" s="2" t="s">
        <v>89</v>
      </c>
      <c r="G24" s="3" t="str">
        <f t="shared" si="4"/>
        <v>53638.5729</v>
      </c>
      <c r="H24" s="10">
        <f t="shared" si="5"/>
        <v>2755</v>
      </c>
      <c r="I24" s="19" t="s">
        <v>156</v>
      </c>
      <c r="J24" s="20" t="s">
        <v>157</v>
      </c>
      <c r="K24" s="19">
        <v>2755</v>
      </c>
      <c r="L24" s="19" t="s">
        <v>158</v>
      </c>
      <c r="M24" s="20" t="s">
        <v>94</v>
      </c>
      <c r="N24" s="20" t="s">
        <v>95</v>
      </c>
      <c r="O24" s="21" t="s">
        <v>159</v>
      </c>
      <c r="P24" s="22" t="s">
        <v>160</v>
      </c>
    </row>
    <row r="25" spans="1:16" ht="12.75" customHeight="1" thickBot="1" x14ac:dyDescent="0.25">
      <c r="A25" s="10" t="str">
        <f t="shared" si="0"/>
        <v>IBVS 5760 </v>
      </c>
      <c r="B25" s="2" t="str">
        <f t="shared" si="1"/>
        <v>II</v>
      </c>
      <c r="C25" s="10">
        <f t="shared" si="2"/>
        <v>53806.941599999998</v>
      </c>
      <c r="D25" s="3" t="str">
        <f t="shared" si="3"/>
        <v>vis</v>
      </c>
      <c r="E25" s="18">
        <f>VLOOKUP(C25,Active!C$21:E$969,3,FALSE)</f>
        <v>16697.171440631038</v>
      </c>
      <c r="F25" s="2" t="s">
        <v>89</v>
      </c>
      <c r="G25" s="3" t="str">
        <f t="shared" si="4"/>
        <v>53806.9416</v>
      </c>
      <c r="H25" s="10">
        <f t="shared" si="5"/>
        <v>3162.5</v>
      </c>
      <c r="I25" s="19" t="s">
        <v>161</v>
      </c>
      <c r="J25" s="20" t="s">
        <v>162</v>
      </c>
      <c r="K25" s="19">
        <v>3162.5</v>
      </c>
      <c r="L25" s="19" t="s">
        <v>163</v>
      </c>
      <c r="M25" s="20" t="s">
        <v>164</v>
      </c>
      <c r="N25" s="20" t="s">
        <v>165</v>
      </c>
      <c r="O25" s="21" t="s">
        <v>166</v>
      </c>
      <c r="P25" s="22" t="s">
        <v>167</v>
      </c>
    </row>
    <row r="26" spans="1:16" ht="12.75" customHeight="1" thickBot="1" x14ac:dyDescent="0.25">
      <c r="A26" s="10" t="str">
        <f t="shared" si="0"/>
        <v>IBVS 5777 </v>
      </c>
      <c r="B26" s="2" t="str">
        <f t="shared" si="1"/>
        <v>I</v>
      </c>
      <c r="C26" s="10">
        <f t="shared" si="2"/>
        <v>53924.4905</v>
      </c>
      <c r="D26" s="3" t="str">
        <f t="shared" si="3"/>
        <v>vis</v>
      </c>
      <c r="E26" s="18">
        <f>VLOOKUP(C26,Active!C$21:E$969,3,FALSE)</f>
        <v>16981.665624358648</v>
      </c>
      <c r="F26" s="2" t="s">
        <v>89</v>
      </c>
      <c r="G26" s="3" t="str">
        <f t="shared" si="4"/>
        <v>53924.4905</v>
      </c>
      <c r="H26" s="10">
        <f t="shared" si="5"/>
        <v>3447</v>
      </c>
      <c r="I26" s="19" t="s">
        <v>168</v>
      </c>
      <c r="J26" s="20" t="s">
        <v>169</v>
      </c>
      <c r="K26" s="19">
        <v>3447</v>
      </c>
      <c r="L26" s="19" t="s">
        <v>170</v>
      </c>
      <c r="M26" s="20" t="s">
        <v>164</v>
      </c>
      <c r="N26" s="20" t="s">
        <v>89</v>
      </c>
      <c r="O26" s="21" t="s">
        <v>171</v>
      </c>
      <c r="P26" s="22" t="s">
        <v>172</v>
      </c>
    </row>
    <row r="27" spans="1:16" ht="12.75" customHeight="1" thickBot="1" x14ac:dyDescent="0.25">
      <c r="A27" s="10" t="str">
        <f t="shared" si="0"/>
        <v>IBVS 5820 </v>
      </c>
      <c r="B27" s="2" t="str">
        <f t="shared" si="1"/>
        <v>II</v>
      </c>
      <c r="C27" s="10">
        <f t="shared" si="2"/>
        <v>54220.942999999999</v>
      </c>
      <c r="D27" s="3" t="str">
        <f t="shared" si="3"/>
        <v>vis</v>
      </c>
      <c r="E27" s="18">
        <f>VLOOKUP(C27,Active!C$21:E$969,3,FALSE)</f>
        <v>17699.145856002731</v>
      </c>
      <c r="F27" s="2" t="s">
        <v>89</v>
      </c>
      <c r="G27" s="3" t="str">
        <f t="shared" si="4"/>
        <v>54220.9430</v>
      </c>
      <c r="H27" s="10">
        <f t="shared" si="5"/>
        <v>4164.5</v>
      </c>
      <c r="I27" s="19" t="s">
        <v>173</v>
      </c>
      <c r="J27" s="20" t="s">
        <v>174</v>
      </c>
      <c r="K27" s="19">
        <v>4164.5</v>
      </c>
      <c r="L27" s="19" t="s">
        <v>175</v>
      </c>
      <c r="M27" s="20" t="s">
        <v>164</v>
      </c>
      <c r="N27" s="20" t="s">
        <v>165</v>
      </c>
      <c r="O27" s="21" t="s">
        <v>166</v>
      </c>
      <c r="P27" s="22" t="s">
        <v>176</v>
      </c>
    </row>
    <row r="28" spans="1:16" ht="12.75" customHeight="1" thickBot="1" x14ac:dyDescent="0.25">
      <c r="A28" s="10" t="str">
        <f t="shared" si="0"/>
        <v>BAVM 234 </v>
      </c>
      <c r="B28" s="2" t="str">
        <f t="shared" si="1"/>
        <v>II</v>
      </c>
      <c r="C28" s="10">
        <f t="shared" si="2"/>
        <v>54299.445899999999</v>
      </c>
      <c r="D28" s="3" t="str">
        <f t="shared" si="3"/>
        <v>vis</v>
      </c>
      <c r="E28" s="18">
        <f>VLOOKUP(C28,Active!C$21:E$969,3,FALSE)</f>
        <v>17889.140134602952</v>
      </c>
      <c r="F28" s="2" t="s">
        <v>89</v>
      </c>
      <c r="G28" s="3" t="str">
        <f t="shared" si="4"/>
        <v>54299.4459</v>
      </c>
      <c r="H28" s="10">
        <f t="shared" si="5"/>
        <v>4354.5</v>
      </c>
      <c r="I28" s="19" t="s">
        <v>177</v>
      </c>
      <c r="J28" s="20" t="s">
        <v>178</v>
      </c>
      <c r="K28" s="19">
        <v>4354.5</v>
      </c>
      <c r="L28" s="19" t="s">
        <v>179</v>
      </c>
      <c r="M28" s="20" t="s">
        <v>164</v>
      </c>
      <c r="N28" s="20" t="s">
        <v>180</v>
      </c>
      <c r="O28" s="21" t="s">
        <v>181</v>
      </c>
      <c r="P28" s="22" t="s">
        <v>182</v>
      </c>
    </row>
    <row r="29" spans="1:16" ht="12.75" customHeight="1" thickBot="1" x14ac:dyDescent="0.25">
      <c r="A29" s="10" t="str">
        <f t="shared" si="0"/>
        <v>BAVM 234 </v>
      </c>
      <c r="B29" s="2" t="str">
        <f t="shared" si="1"/>
        <v>I</v>
      </c>
      <c r="C29" s="10">
        <f t="shared" si="2"/>
        <v>54300.4787</v>
      </c>
      <c r="D29" s="3" t="str">
        <f t="shared" si="3"/>
        <v>vis</v>
      </c>
      <c r="E29" s="18">
        <f>VLOOKUP(C29,Active!C$21:E$969,3,FALSE)</f>
        <v>17891.639737686895</v>
      </c>
      <c r="F29" s="2" t="s">
        <v>89</v>
      </c>
      <c r="G29" s="3" t="str">
        <f t="shared" si="4"/>
        <v>54300.4787</v>
      </c>
      <c r="H29" s="10">
        <f t="shared" si="5"/>
        <v>4357</v>
      </c>
      <c r="I29" s="19" t="s">
        <v>183</v>
      </c>
      <c r="J29" s="20" t="s">
        <v>184</v>
      </c>
      <c r="K29" s="19">
        <v>4357</v>
      </c>
      <c r="L29" s="19" t="s">
        <v>185</v>
      </c>
      <c r="M29" s="20" t="s">
        <v>164</v>
      </c>
      <c r="N29" s="20" t="s">
        <v>180</v>
      </c>
      <c r="O29" s="21" t="s">
        <v>181</v>
      </c>
      <c r="P29" s="22" t="s">
        <v>182</v>
      </c>
    </row>
    <row r="30" spans="1:16" ht="12.75" customHeight="1" thickBot="1" x14ac:dyDescent="0.25">
      <c r="A30" s="10" t="str">
        <f t="shared" si="0"/>
        <v>BAVM 234 </v>
      </c>
      <c r="B30" s="2" t="str">
        <f t="shared" si="1"/>
        <v>II</v>
      </c>
      <c r="C30" s="10">
        <f t="shared" si="2"/>
        <v>54316.387000000002</v>
      </c>
      <c r="D30" s="3" t="str">
        <f t="shared" si="3"/>
        <v>vis</v>
      </c>
      <c r="E30" s="18">
        <f>VLOOKUP(C30,Active!C$21:E$969,3,FALSE)</f>
        <v>17930.141321478786</v>
      </c>
      <c r="F30" s="2" t="s">
        <v>89</v>
      </c>
      <c r="G30" s="3" t="str">
        <f t="shared" si="4"/>
        <v>54316.387</v>
      </c>
      <c r="H30" s="10">
        <f t="shared" si="5"/>
        <v>4395.5</v>
      </c>
      <c r="I30" s="19" t="s">
        <v>186</v>
      </c>
      <c r="J30" s="20" t="s">
        <v>187</v>
      </c>
      <c r="K30" s="19">
        <v>4395.5</v>
      </c>
      <c r="L30" s="19" t="s">
        <v>188</v>
      </c>
      <c r="M30" s="20" t="s">
        <v>164</v>
      </c>
      <c r="N30" s="20" t="s">
        <v>180</v>
      </c>
      <c r="O30" s="21" t="s">
        <v>181</v>
      </c>
      <c r="P30" s="22" t="s">
        <v>182</v>
      </c>
    </row>
    <row r="31" spans="1:16" ht="12.75" customHeight="1" thickBot="1" x14ac:dyDescent="0.25">
      <c r="A31" s="10" t="str">
        <f t="shared" si="0"/>
        <v>BAVM 193 </v>
      </c>
      <c r="B31" s="2" t="str">
        <f t="shared" si="1"/>
        <v>I</v>
      </c>
      <c r="C31" s="10">
        <f t="shared" si="2"/>
        <v>54343.449200000003</v>
      </c>
      <c r="D31" s="3" t="str">
        <f t="shared" si="3"/>
        <v>vis</v>
      </c>
      <c r="E31" s="18">
        <f>VLOOKUP(C31,Active!C$21:E$969,3,FALSE)</f>
        <v>17995.637795702478</v>
      </c>
      <c r="F31" s="2" t="s">
        <v>89</v>
      </c>
      <c r="G31" s="3" t="str">
        <f t="shared" si="4"/>
        <v>54343.4492</v>
      </c>
      <c r="H31" s="10">
        <f t="shared" si="5"/>
        <v>4461</v>
      </c>
      <c r="I31" s="19" t="s">
        <v>194</v>
      </c>
      <c r="J31" s="20" t="s">
        <v>195</v>
      </c>
      <c r="K31" s="19">
        <v>4461</v>
      </c>
      <c r="L31" s="19" t="s">
        <v>196</v>
      </c>
      <c r="M31" s="20" t="s">
        <v>164</v>
      </c>
      <c r="N31" s="20" t="s">
        <v>89</v>
      </c>
      <c r="O31" s="21" t="s">
        <v>197</v>
      </c>
      <c r="P31" s="22" t="s">
        <v>198</v>
      </c>
    </row>
    <row r="32" spans="1:16" ht="12.75" customHeight="1" thickBot="1" x14ac:dyDescent="0.25">
      <c r="A32" s="10" t="str">
        <f t="shared" si="0"/>
        <v>BAVM 201 </v>
      </c>
      <c r="B32" s="2" t="str">
        <f t="shared" si="1"/>
        <v>I</v>
      </c>
      <c r="C32" s="10">
        <f t="shared" si="2"/>
        <v>54389.3122</v>
      </c>
      <c r="D32" s="3" t="str">
        <f t="shared" si="3"/>
        <v>vis</v>
      </c>
      <c r="E32" s="18">
        <f>VLOOKUP(C32,Active!C$21:E$969,3,FALSE)</f>
        <v>18106.636339698194</v>
      </c>
      <c r="F32" s="2" t="s">
        <v>89</v>
      </c>
      <c r="G32" s="3" t="str">
        <f t="shared" si="4"/>
        <v>54389.3122</v>
      </c>
      <c r="H32" s="10">
        <f t="shared" si="5"/>
        <v>4572</v>
      </c>
      <c r="I32" s="19" t="s">
        <v>199</v>
      </c>
      <c r="J32" s="20" t="s">
        <v>200</v>
      </c>
      <c r="K32" s="19">
        <v>4572</v>
      </c>
      <c r="L32" s="19" t="s">
        <v>201</v>
      </c>
      <c r="M32" s="20" t="s">
        <v>164</v>
      </c>
      <c r="N32" s="20" t="s">
        <v>180</v>
      </c>
      <c r="O32" s="21" t="s">
        <v>202</v>
      </c>
      <c r="P32" s="22" t="s">
        <v>203</v>
      </c>
    </row>
    <row r="33" spans="1:16" ht="12.75" customHeight="1" thickBot="1" x14ac:dyDescent="0.25">
      <c r="A33" s="10" t="str">
        <f t="shared" si="0"/>
        <v>IBVS 5898 </v>
      </c>
      <c r="B33" s="2" t="str">
        <f t="shared" si="1"/>
        <v>II</v>
      </c>
      <c r="C33" s="10">
        <f t="shared" si="2"/>
        <v>54620.484100000001</v>
      </c>
      <c r="D33" s="3" t="str">
        <f t="shared" si="3"/>
        <v>vis</v>
      </c>
      <c r="E33" s="18">
        <f>VLOOKUP(C33,Active!C$21:E$969,3,FALSE)</f>
        <v>18666.12316595739</v>
      </c>
      <c r="F33" s="2" t="s">
        <v>89</v>
      </c>
      <c r="G33" s="3" t="str">
        <f t="shared" si="4"/>
        <v>54620.4841</v>
      </c>
      <c r="H33" s="10">
        <f t="shared" si="5"/>
        <v>5131.5</v>
      </c>
      <c r="I33" s="19" t="s">
        <v>204</v>
      </c>
      <c r="J33" s="20" t="s">
        <v>205</v>
      </c>
      <c r="K33" s="19">
        <v>5131.5</v>
      </c>
      <c r="L33" s="19" t="s">
        <v>206</v>
      </c>
      <c r="M33" s="20" t="s">
        <v>164</v>
      </c>
      <c r="N33" s="20" t="s">
        <v>180</v>
      </c>
      <c r="O33" s="21" t="s">
        <v>171</v>
      </c>
      <c r="P33" s="22" t="s">
        <v>207</v>
      </c>
    </row>
    <row r="34" spans="1:16" ht="12.75" customHeight="1" thickBot="1" x14ac:dyDescent="0.25">
      <c r="A34" s="10" t="str">
        <f t="shared" si="0"/>
        <v>IBVS 5898 </v>
      </c>
      <c r="B34" s="2" t="str">
        <f t="shared" si="1"/>
        <v>II</v>
      </c>
      <c r="C34" s="10">
        <f t="shared" si="2"/>
        <v>54680.392899999999</v>
      </c>
      <c r="D34" s="3" t="str">
        <f t="shared" si="3"/>
        <v>vis</v>
      </c>
      <c r="E34" s="18">
        <f>VLOOKUP(C34,Active!C$21:E$969,3,FALSE)</f>
        <v>18811.115634233141</v>
      </c>
      <c r="F34" s="2" t="s">
        <v>89</v>
      </c>
      <c r="G34" s="3" t="str">
        <f t="shared" si="4"/>
        <v>54680.3929</v>
      </c>
      <c r="H34" s="10">
        <f t="shared" si="5"/>
        <v>5276.5</v>
      </c>
      <c r="I34" s="19" t="s">
        <v>215</v>
      </c>
      <c r="J34" s="20" t="s">
        <v>216</v>
      </c>
      <c r="K34" s="19">
        <v>5276.5</v>
      </c>
      <c r="L34" s="19" t="s">
        <v>217</v>
      </c>
      <c r="M34" s="20" t="s">
        <v>164</v>
      </c>
      <c r="N34" s="20" t="s">
        <v>180</v>
      </c>
      <c r="O34" s="21" t="s">
        <v>171</v>
      </c>
      <c r="P34" s="22" t="s">
        <v>207</v>
      </c>
    </row>
    <row r="35" spans="1:16" ht="12.75" customHeight="1" thickBot="1" x14ac:dyDescent="0.25">
      <c r="A35" s="10" t="str">
        <f t="shared" si="0"/>
        <v>BAVM 209 </v>
      </c>
      <c r="B35" s="2" t="str">
        <f t="shared" si="1"/>
        <v>II</v>
      </c>
      <c r="C35" s="10">
        <f t="shared" si="2"/>
        <v>54776.2503</v>
      </c>
      <c r="D35" s="3" t="str">
        <f t="shared" si="3"/>
        <v>vis</v>
      </c>
      <c r="E35" s="18">
        <f>VLOOKUP(C35,Active!C$21:E$969,3,FALSE)</f>
        <v>19043.111618604333</v>
      </c>
      <c r="F35" s="2" t="s">
        <v>89</v>
      </c>
      <c r="G35" s="3" t="str">
        <f t="shared" si="4"/>
        <v>54776.2503</v>
      </c>
      <c r="H35" s="10">
        <f t="shared" si="5"/>
        <v>5508.5</v>
      </c>
      <c r="I35" s="19" t="s">
        <v>221</v>
      </c>
      <c r="J35" s="20" t="s">
        <v>222</v>
      </c>
      <c r="K35" s="19">
        <v>5508.5</v>
      </c>
      <c r="L35" s="19" t="s">
        <v>210</v>
      </c>
      <c r="M35" s="20" t="s">
        <v>164</v>
      </c>
      <c r="N35" s="20" t="s">
        <v>223</v>
      </c>
      <c r="O35" s="21" t="s">
        <v>224</v>
      </c>
      <c r="P35" s="22" t="s">
        <v>225</v>
      </c>
    </row>
    <row r="36" spans="1:16" ht="12.75" customHeight="1" thickBot="1" x14ac:dyDescent="0.25">
      <c r="A36" s="10" t="str">
        <f t="shared" si="0"/>
        <v>IBVS 5898 </v>
      </c>
      <c r="B36" s="2" t="str">
        <f t="shared" si="1"/>
        <v>I</v>
      </c>
      <c r="C36" s="10">
        <f t="shared" si="2"/>
        <v>54942.5533</v>
      </c>
      <c r="D36" s="3" t="str">
        <f t="shared" si="3"/>
        <v>vis</v>
      </c>
      <c r="E36" s="18">
        <f>VLOOKUP(C36,Active!C$21:E$969,3,FALSE)</f>
        <v>19445.601443999989</v>
      </c>
      <c r="F36" s="2" t="s">
        <v>89</v>
      </c>
      <c r="G36" s="3" t="str">
        <f t="shared" si="4"/>
        <v>54942.5533</v>
      </c>
      <c r="H36" s="10">
        <f t="shared" si="5"/>
        <v>5911</v>
      </c>
      <c r="I36" s="19" t="s">
        <v>226</v>
      </c>
      <c r="J36" s="20" t="s">
        <v>227</v>
      </c>
      <c r="K36" s="19" t="s">
        <v>228</v>
      </c>
      <c r="L36" s="19" t="s">
        <v>229</v>
      </c>
      <c r="M36" s="20" t="s">
        <v>164</v>
      </c>
      <c r="N36" s="20" t="s">
        <v>89</v>
      </c>
      <c r="O36" s="21" t="s">
        <v>171</v>
      </c>
      <c r="P36" s="22" t="s">
        <v>207</v>
      </c>
    </row>
    <row r="37" spans="1:16" ht="12.75" customHeight="1" thickBot="1" x14ac:dyDescent="0.25">
      <c r="A37" s="10" t="str">
        <f t="shared" si="0"/>
        <v>IBVS 5898 </v>
      </c>
      <c r="B37" s="2" t="str">
        <f t="shared" si="1"/>
        <v>I</v>
      </c>
      <c r="C37" s="10">
        <f t="shared" si="2"/>
        <v>54969.409699999997</v>
      </c>
      <c r="D37" s="3" t="str">
        <f t="shared" si="3"/>
        <v>vis</v>
      </c>
      <c r="E37" s="18">
        <f>VLOOKUP(C37,Active!C$21:E$969,3,FALSE)</f>
        <v>19510.599836973986</v>
      </c>
      <c r="F37" s="2" t="s">
        <v>89</v>
      </c>
      <c r="G37" s="3" t="str">
        <f t="shared" si="4"/>
        <v>54969.4097</v>
      </c>
      <c r="H37" s="10">
        <f t="shared" si="5"/>
        <v>5976</v>
      </c>
      <c r="I37" s="19" t="s">
        <v>230</v>
      </c>
      <c r="J37" s="20" t="s">
        <v>231</v>
      </c>
      <c r="K37" s="19" t="s">
        <v>232</v>
      </c>
      <c r="L37" s="19" t="s">
        <v>233</v>
      </c>
      <c r="M37" s="20" t="s">
        <v>164</v>
      </c>
      <c r="N37" s="20" t="s">
        <v>89</v>
      </c>
      <c r="O37" s="21" t="s">
        <v>171</v>
      </c>
      <c r="P37" s="22" t="s">
        <v>207</v>
      </c>
    </row>
    <row r="38" spans="1:16" ht="12.75" customHeight="1" thickBot="1" x14ac:dyDescent="0.25">
      <c r="A38" s="10" t="str">
        <f t="shared" si="0"/>
        <v>IBVS 5980 </v>
      </c>
      <c r="B38" s="2" t="str">
        <f t="shared" si="1"/>
        <v>II</v>
      </c>
      <c r="C38" s="10">
        <f t="shared" si="2"/>
        <v>55065.4738</v>
      </c>
      <c r="D38" s="3" t="str">
        <f t="shared" si="3"/>
        <v>vis</v>
      </c>
      <c r="E38" s="18">
        <f>VLOOKUP(C38,Active!C$21:E$969,3,FALSE)</f>
        <v>19743.096080792755</v>
      </c>
      <c r="F38" s="2" t="s">
        <v>89</v>
      </c>
      <c r="G38" s="3" t="str">
        <f t="shared" si="4"/>
        <v>55065.4738</v>
      </c>
      <c r="H38" s="10">
        <f t="shared" si="5"/>
        <v>6208.5</v>
      </c>
      <c r="I38" s="19" t="s">
        <v>234</v>
      </c>
      <c r="J38" s="20" t="s">
        <v>235</v>
      </c>
      <c r="K38" s="19" t="s">
        <v>236</v>
      </c>
      <c r="L38" s="19" t="s">
        <v>237</v>
      </c>
      <c r="M38" s="20" t="s">
        <v>164</v>
      </c>
      <c r="N38" s="20" t="s">
        <v>89</v>
      </c>
      <c r="O38" s="21" t="s">
        <v>171</v>
      </c>
      <c r="P38" s="22" t="s">
        <v>238</v>
      </c>
    </row>
    <row r="39" spans="1:16" ht="12.75" customHeight="1" thickBot="1" x14ac:dyDescent="0.25">
      <c r="A39" s="10" t="str">
        <f t="shared" si="0"/>
        <v>IBVS 5965 </v>
      </c>
      <c r="B39" s="2" t="str">
        <f t="shared" si="1"/>
        <v>II</v>
      </c>
      <c r="C39" s="10">
        <f t="shared" si="2"/>
        <v>55380.313199999997</v>
      </c>
      <c r="D39" s="3" t="str">
        <f t="shared" si="3"/>
        <v>vis</v>
      </c>
      <c r="E39" s="18">
        <f>VLOOKUP(C39,Active!C$21:E$969,3,FALSE)</f>
        <v>20505.076653203789</v>
      </c>
      <c r="F39" s="2" t="s">
        <v>89</v>
      </c>
      <c r="G39" s="3" t="str">
        <f t="shared" si="4"/>
        <v>55380.3132</v>
      </c>
      <c r="H39" s="10">
        <f t="shared" si="5"/>
        <v>6970.5</v>
      </c>
      <c r="I39" s="19" t="s">
        <v>249</v>
      </c>
      <c r="J39" s="20" t="s">
        <v>250</v>
      </c>
      <c r="K39" s="19" t="s">
        <v>251</v>
      </c>
      <c r="L39" s="19" t="s">
        <v>252</v>
      </c>
      <c r="M39" s="20" t="s">
        <v>164</v>
      </c>
      <c r="N39" s="20" t="s">
        <v>253</v>
      </c>
      <c r="O39" s="21" t="s">
        <v>254</v>
      </c>
      <c r="P39" s="22" t="s">
        <v>255</v>
      </c>
    </row>
    <row r="40" spans="1:16" ht="12.75" customHeight="1" thickBot="1" x14ac:dyDescent="0.25">
      <c r="A40" s="10" t="str">
        <f t="shared" si="0"/>
        <v>IBVS 5965 </v>
      </c>
      <c r="B40" s="2" t="str">
        <f t="shared" si="1"/>
        <v>I</v>
      </c>
      <c r="C40" s="10">
        <f t="shared" si="2"/>
        <v>55380.5193</v>
      </c>
      <c r="D40" s="3" t="str">
        <f t="shared" si="3"/>
        <v>vis</v>
      </c>
      <c r="E40" s="18">
        <f>VLOOKUP(C40,Active!C$21:E$969,3,FALSE)</f>
        <v>20505.575460519442</v>
      </c>
      <c r="F40" s="2" t="s">
        <v>89</v>
      </c>
      <c r="G40" s="3" t="str">
        <f t="shared" si="4"/>
        <v>55380.5193</v>
      </c>
      <c r="H40" s="10">
        <f t="shared" si="5"/>
        <v>6971</v>
      </c>
      <c r="I40" s="19" t="s">
        <v>256</v>
      </c>
      <c r="J40" s="20" t="s">
        <v>257</v>
      </c>
      <c r="K40" s="19" t="s">
        <v>258</v>
      </c>
      <c r="L40" s="19" t="s">
        <v>259</v>
      </c>
      <c r="M40" s="20" t="s">
        <v>164</v>
      </c>
      <c r="N40" s="20" t="s">
        <v>253</v>
      </c>
      <c r="O40" s="21" t="s">
        <v>254</v>
      </c>
      <c r="P40" s="22" t="s">
        <v>255</v>
      </c>
    </row>
    <row r="41" spans="1:16" ht="12.75" customHeight="1" thickBot="1" x14ac:dyDescent="0.25">
      <c r="A41" s="10" t="str">
        <f t="shared" si="0"/>
        <v>IBVS 5965 </v>
      </c>
      <c r="B41" s="2" t="str">
        <f t="shared" si="1"/>
        <v>I</v>
      </c>
      <c r="C41" s="10">
        <f t="shared" si="2"/>
        <v>55390.436800000003</v>
      </c>
      <c r="D41" s="3" t="str">
        <f t="shared" si="3"/>
        <v>vis</v>
      </c>
      <c r="E41" s="18">
        <f>VLOOKUP(C41,Active!C$21:E$969,3,FALSE)</f>
        <v>20529.577991101349</v>
      </c>
      <c r="F41" s="2" t="s">
        <v>89</v>
      </c>
      <c r="G41" s="3" t="str">
        <f t="shared" si="4"/>
        <v>55390.4368</v>
      </c>
      <c r="H41" s="10">
        <f t="shared" si="5"/>
        <v>6995</v>
      </c>
      <c r="I41" s="19" t="s">
        <v>260</v>
      </c>
      <c r="J41" s="20" t="s">
        <v>261</v>
      </c>
      <c r="K41" s="19" t="s">
        <v>262</v>
      </c>
      <c r="L41" s="19" t="s">
        <v>242</v>
      </c>
      <c r="M41" s="20" t="s">
        <v>164</v>
      </c>
      <c r="N41" s="20" t="s">
        <v>253</v>
      </c>
      <c r="O41" s="21" t="s">
        <v>263</v>
      </c>
      <c r="P41" s="22" t="s">
        <v>255</v>
      </c>
    </row>
    <row r="42" spans="1:16" ht="12.75" customHeight="1" thickBot="1" x14ac:dyDescent="0.25">
      <c r="A42" s="10" t="str">
        <f t="shared" si="0"/>
        <v>IBVS 6039 </v>
      </c>
      <c r="B42" s="2" t="str">
        <f t="shared" si="1"/>
        <v>I</v>
      </c>
      <c r="C42" s="10">
        <f t="shared" si="2"/>
        <v>55468.526899999997</v>
      </c>
      <c r="D42" s="3" t="str">
        <f t="shared" si="3"/>
        <v>vis</v>
      </c>
      <c r="E42" s="18">
        <f>VLOOKUP(C42,Active!C$21:E$969,3,FALSE)</f>
        <v>20718.57320293834</v>
      </c>
      <c r="F42" s="2" t="s">
        <v>89</v>
      </c>
      <c r="G42" s="3" t="str">
        <f t="shared" si="4"/>
        <v>55468.5269</v>
      </c>
      <c r="H42" s="10">
        <f t="shared" si="5"/>
        <v>7184</v>
      </c>
      <c r="I42" s="19" t="s">
        <v>272</v>
      </c>
      <c r="J42" s="20" t="s">
        <v>273</v>
      </c>
      <c r="K42" s="19" t="s">
        <v>274</v>
      </c>
      <c r="L42" s="19" t="s">
        <v>275</v>
      </c>
      <c r="M42" s="20" t="s">
        <v>164</v>
      </c>
      <c r="N42" s="20" t="s">
        <v>253</v>
      </c>
      <c r="O42" s="21" t="s">
        <v>276</v>
      </c>
      <c r="P42" s="22" t="s">
        <v>277</v>
      </c>
    </row>
    <row r="43" spans="1:16" ht="12.75" customHeight="1" thickBot="1" x14ac:dyDescent="0.25">
      <c r="A43" s="10" t="str">
        <f t="shared" ref="A43:A63" si="6">P43</f>
        <v>IBVS 5980 </v>
      </c>
      <c r="B43" s="2" t="str">
        <f t="shared" ref="B43:B63" si="7">IF(H43=INT(H43),"I","II")</f>
        <v>I</v>
      </c>
      <c r="C43" s="10">
        <f t="shared" ref="C43:C63" si="8">1*G43</f>
        <v>55481.335599999999</v>
      </c>
      <c r="D43" s="3" t="str">
        <f t="shared" ref="D43:D63" si="9">VLOOKUP(F43,I$1:J$5,2,FALSE)</f>
        <v>vis</v>
      </c>
      <c r="E43" s="18">
        <f>VLOOKUP(C43,Active!C$21:E$969,3,FALSE)</f>
        <v>20749.573073214557</v>
      </c>
      <c r="F43" s="2" t="s">
        <v>89</v>
      </c>
      <c r="G43" s="3" t="str">
        <f t="shared" ref="G43:G63" si="10">MID(I43,3,LEN(I43)-3)</f>
        <v>55481.3356</v>
      </c>
      <c r="H43" s="10">
        <f t="shared" ref="H43:H63" si="11">1*K43</f>
        <v>7215</v>
      </c>
      <c r="I43" s="19" t="s">
        <v>278</v>
      </c>
      <c r="J43" s="20" t="s">
        <v>279</v>
      </c>
      <c r="K43" s="19" t="s">
        <v>280</v>
      </c>
      <c r="L43" s="19" t="s">
        <v>281</v>
      </c>
      <c r="M43" s="20" t="s">
        <v>164</v>
      </c>
      <c r="N43" s="20" t="s">
        <v>165</v>
      </c>
      <c r="O43" s="21" t="s">
        <v>171</v>
      </c>
      <c r="P43" s="22" t="s">
        <v>238</v>
      </c>
    </row>
    <row r="44" spans="1:16" ht="12.75" customHeight="1" thickBot="1" x14ac:dyDescent="0.25">
      <c r="A44" s="10" t="str">
        <f t="shared" si="6"/>
        <v>IBVS 6044 </v>
      </c>
      <c r="B44" s="2" t="str">
        <f t="shared" si="7"/>
        <v>II</v>
      </c>
      <c r="C44" s="10">
        <f t="shared" si="8"/>
        <v>55628.634700000002</v>
      </c>
      <c r="D44" s="3" t="str">
        <f t="shared" si="9"/>
        <v>vis</v>
      </c>
      <c r="E44" s="18">
        <f>VLOOKUP(C44,Active!C$21:E$969,3,FALSE)</f>
        <v>21106.069282182158</v>
      </c>
      <c r="F44" s="2" t="s">
        <v>89</v>
      </c>
      <c r="G44" s="3" t="str">
        <f t="shared" si="10"/>
        <v>55628.6347</v>
      </c>
      <c r="H44" s="10">
        <f t="shared" si="11"/>
        <v>7571.5</v>
      </c>
      <c r="I44" s="19" t="s">
        <v>282</v>
      </c>
      <c r="J44" s="20" t="s">
        <v>283</v>
      </c>
      <c r="K44" s="19" t="s">
        <v>284</v>
      </c>
      <c r="L44" s="19" t="s">
        <v>285</v>
      </c>
      <c r="M44" s="20" t="s">
        <v>164</v>
      </c>
      <c r="N44" s="20" t="s">
        <v>89</v>
      </c>
      <c r="O44" s="21" t="s">
        <v>171</v>
      </c>
      <c r="P44" s="22" t="s">
        <v>286</v>
      </c>
    </row>
    <row r="45" spans="1:16" ht="12.75" customHeight="1" thickBot="1" x14ac:dyDescent="0.25">
      <c r="A45" s="10" t="str">
        <f t="shared" si="6"/>
        <v>IBVS 6041 </v>
      </c>
      <c r="B45" s="2" t="str">
        <f t="shared" si="7"/>
        <v>II</v>
      </c>
      <c r="C45" s="10">
        <f t="shared" si="8"/>
        <v>55815.389499999997</v>
      </c>
      <c r="D45" s="3" t="str">
        <f t="shared" si="9"/>
        <v>vis</v>
      </c>
      <c r="E45" s="18">
        <f>VLOOKUP(C45,Active!C$21:E$969,3,FALSE)</f>
        <v>21558.056960358736</v>
      </c>
      <c r="F45" s="2" t="s">
        <v>89</v>
      </c>
      <c r="G45" s="3" t="str">
        <f t="shared" si="10"/>
        <v>55815.3895</v>
      </c>
      <c r="H45" s="10">
        <f t="shared" si="11"/>
        <v>8023.5</v>
      </c>
      <c r="I45" s="19" t="s">
        <v>293</v>
      </c>
      <c r="J45" s="20" t="s">
        <v>294</v>
      </c>
      <c r="K45" s="19" t="s">
        <v>295</v>
      </c>
      <c r="L45" s="19" t="s">
        <v>296</v>
      </c>
      <c r="M45" s="20" t="s">
        <v>164</v>
      </c>
      <c r="N45" s="20" t="s">
        <v>253</v>
      </c>
      <c r="O45" s="21" t="s">
        <v>297</v>
      </c>
      <c r="P45" s="22" t="s">
        <v>298</v>
      </c>
    </row>
    <row r="46" spans="1:16" ht="12.75" customHeight="1" thickBot="1" x14ac:dyDescent="0.25">
      <c r="A46" s="10" t="str">
        <f t="shared" si="6"/>
        <v>BAVM 228 </v>
      </c>
      <c r="B46" s="2" t="str">
        <f t="shared" si="7"/>
        <v>I</v>
      </c>
      <c r="C46" s="10">
        <f t="shared" si="8"/>
        <v>56154.399799999999</v>
      </c>
      <c r="D46" s="3" t="str">
        <f t="shared" si="9"/>
        <v>vis</v>
      </c>
      <c r="E46" s="18">
        <f>VLOOKUP(C46,Active!C$21:E$969,3,FALSE)</f>
        <v>22378.536425277169</v>
      </c>
      <c r="F46" s="2" t="s">
        <v>89</v>
      </c>
      <c r="G46" s="3" t="str">
        <f t="shared" si="10"/>
        <v>56154.3998</v>
      </c>
      <c r="H46" s="10">
        <f t="shared" si="11"/>
        <v>8844</v>
      </c>
      <c r="I46" s="19" t="s">
        <v>303</v>
      </c>
      <c r="J46" s="20" t="s">
        <v>304</v>
      </c>
      <c r="K46" s="19" t="s">
        <v>305</v>
      </c>
      <c r="L46" s="19" t="s">
        <v>259</v>
      </c>
      <c r="M46" s="20" t="s">
        <v>164</v>
      </c>
      <c r="N46" s="20" t="s">
        <v>180</v>
      </c>
      <c r="O46" s="21" t="s">
        <v>306</v>
      </c>
      <c r="P46" s="22" t="s">
        <v>307</v>
      </c>
    </row>
    <row r="47" spans="1:16" ht="12.75" customHeight="1" thickBot="1" x14ac:dyDescent="0.25">
      <c r="A47" s="10" t="str">
        <f t="shared" si="6"/>
        <v>IBVS 6044 </v>
      </c>
      <c r="B47" s="2" t="str">
        <f t="shared" si="7"/>
        <v>I</v>
      </c>
      <c r="C47" s="10">
        <f t="shared" si="8"/>
        <v>56188.282800000001</v>
      </c>
      <c r="D47" s="3" t="str">
        <f t="shared" si="9"/>
        <v>vis</v>
      </c>
      <c r="E47" s="18">
        <f>VLOOKUP(C47,Active!C$21:E$969,3,FALSE)</f>
        <v>22460.540735204719</v>
      </c>
      <c r="F47" s="2" t="s">
        <v>89</v>
      </c>
      <c r="G47" s="3" t="str">
        <f t="shared" si="10"/>
        <v>56188.2828</v>
      </c>
      <c r="H47" s="10">
        <f t="shared" si="11"/>
        <v>8926</v>
      </c>
      <c r="I47" s="19" t="s">
        <v>308</v>
      </c>
      <c r="J47" s="20" t="s">
        <v>309</v>
      </c>
      <c r="K47" s="19" t="s">
        <v>310</v>
      </c>
      <c r="L47" s="19" t="s">
        <v>220</v>
      </c>
      <c r="M47" s="20" t="s">
        <v>164</v>
      </c>
      <c r="N47" s="20" t="s">
        <v>89</v>
      </c>
      <c r="O47" s="21" t="s">
        <v>171</v>
      </c>
      <c r="P47" s="22" t="s">
        <v>286</v>
      </c>
    </row>
    <row r="48" spans="1:16" ht="12.75" customHeight="1" thickBot="1" x14ac:dyDescent="0.25">
      <c r="A48" s="10" t="str">
        <f t="shared" si="6"/>
        <v>IBVS 6044 </v>
      </c>
      <c r="B48" s="2" t="str">
        <f t="shared" si="7"/>
        <v>II</v>
      </c>
      <c r="C48" s="10">
        <f t="shared" si="8"/>
        <v>56189.3145</v>
      </c>
      <c r="D48" s="3" t="str">
        <f t="shared" si="9"/>
        <v>vis</v>
      </c>
      <c r="E48" s="18">
        <f>VLOOKUP(C48,Active!C$21:E$969,3,FALSE)</f>
        <v>22463.037676046799</v>
      </c>
      <c r="F48" s="2" t="s">
        <v>89</v>
      </c>
      <c r="G48" s="3" t="str">
        <f t="shared" si="10"/>
        <v>56189.3145</v>
      </c>
      <c r="H48" s="10">
        <f t="shared" si="11"/>
        <v>8928.5</v>
      </c>
      <c r="I48" s="19" t="s">
        <v>311</v>
      </c>
      <c r="J48" s="20" t="s">
        <v>312</v>
      </c>
      <c r="K48" s="19" t="s">
        <v>313</v>
      </c>
      <c r="L48" s="19" t="s">
        <v>242</v>
      </c>
      <c r="M48" s="20" t="s">
        <v>164</v>
      </c>
      <c r="N48" s="20" t="s">
        <v>165</v>
      </c>
      <c r="O48" s="21" t="s">
        <v>171</v>
      </c>
      <c r="P48" s="22" t="s">
        <v>286</v>
      </c>
    </row>
    <row r="49" spans="1:16" ht="12.75" customHeight="1" thickBot="1" x14ac:dyDescent="0.25">
      <c r="A49" s="10" t="str">
        <f t="shared" si="6"/>
        <v>IBVS 6044 </v>
      </c>
      <c r="B49" s="2" t="str">
        <f t="shared" si="7"/>
        <v>I</v>
      </c>
      <c r="C49" s="10">
        <f t="shared" si="8"/>
        <v>56219.269899999999</v>
      </c>
      <c r="D49" s="3" t="str">
        <f t="shared" si="9"/>
        <v>vis</v>
      </c>
      <c r="E49" s="18">
        <f>VLOOKUP(C49,Active!C$21:E$969,3,FALSE)</f>
        <v>22535.53633040455</v>
      </c>
      <c r="F49" s="2" t="s">
        <v>89</v>
      </c>
      <c r="G49" s="3" t="str">
        <f t="shared" si="10"/>
        <v>56219.2699</v>
      </c>
      <c r="H49" s="10">
        <f t="shared" si="11"/>
        <v>9001</v>
      </c>
      <c r="I49" s="19" t="s">
        <v>314</v>
      </c>
      <c r="J49" s="20" t="s">
        <v>315</v>
      </c>
      <c r="K49" s="19" t="s">
        <v>316</v>
      </c>
      <c r="L49" s="19" t="s">
        <v>242</v>
      </c>
      <c r="M49" s="20" t="s">
        <v>164</v>
      </c>
      <c r="N49" s="20" t="s">
        <v>165</v>
      </c>
      <c r="O49" s="21" t="s">
        <v>171</v>
      </c>
      <c r="P49" s="22" t="s">
        <v>286</v>
      </c>
    </row>
    <row r="50" spans="1:16" ht="12.75" customHeight="1" thickBot="1" x14ac:dyDescent="0.25">
      <c r="A50" s="10" t="str">
        <f t="shared" si="6"/>
        <v>BAVM 232 </v>
      </c>
      <c r="B50" s="2" t="str">
        <f t="shared" si="7"/>
        <v>II</v>
      </c>
      <c r="C50" s="10">
        <f t="shared" si="8"/>
        <v>56450.442999999999</v>
      </c>
      <c r="D50" s="3" t="str">
        <f t="shared" si="9"/>
        <v>vis</v>
      </c>
      <c r="E50" s="18">
        <f>VLOOKUP(C50,Active!C$21:E$969,3,FALSE)</f>
        <v>23095.026060927587</v>
      </c>
      <c r="F50" s="2" t="s">
        <v>89</v>
      </c>
      <c r="G50" s="3" t="str">
        <f t="shared" si="10"/>
        <v>56450.4430</v>
      </c>
      <c r="H50" s="10">
        <f t="shared" si="11"/>
        <v>9560.5</v>
      </c>
      <c r="I50" s="19" t="s">
        <v>317</v>
      </c>
      <c r="J50" s="20" t="s">
        <v>318</v>
      </c>
      <c r="K50" s="19" t="s">
        <v>319</v>
      </c>
      <c r="L50" s="19" t="s">
        <v>320</v>
      </c>
      <c r="M50" s="20" t="s">
        <v>164</v>
      </c>
      <c r="N50" s="20" t="s">
        <v>89</v>
      </c>
      <c r="O50" s="21" t="s">
        <v>197</v>
      </c>
      <c r="P50" s="22" t="s">
        <v>321</v>
      </c>
    </row>
    <row r="51" spans="1:16" ht="12.75" customHeight="1" thickBot="1" x14ac:dyDescent="0.25">
      <c r="A51" s="10" t="str">
        <f t="shared" si="6"/>
        <v>IBVS 2966 </v>
      </c>
      <c r="B51" s="2" t="str">
        <f t="shared" si="7"/>
        <v>I</v>
      </c>
      <c r="C51" s="10">
        <f t="shared" si="8"/>
        <v>46644.502999999997</v>
      </c>
      <c r="D51" s="3" t="str">
        <f t="shared" si="9"/>
        <v>vis</v>
      </c>
      <c r="E51" s="18">
        <f>VLOOKUP(C51,Active!C$21:E$969,3,FALSE)</f>
        <v>-637.50479203534894</v>
      </c>
      <c r="F51" s="2" t="s">
        <v>89</v>
      </c>
      <c r="G51" s="3" t="str">
        <f t="shared" si="10"/>
        <v>46644.503</v>
      </c>
      <c r="H51" s="10">
        <f t="shared" si="11"/>
        <v>-14174</v>
      </c>
      <c r="I51" s="19" t="s">
        <v>91</v>
      </c>
      <c r="J51" s="20" t="s">
        <v>92</v>
      </c>
      <c r="K51" s="19">
        <v>-14174</v>
      </c>
      <c r="L51" s="19" t="s">
        <v>93</v>
      </c>
      <c r="M51" s="20" t="s">
        <v>94</v>
      </c>
      <c r="N51" s="20" t="s">
        <v>95</v>
      </c>
      <c r="O51" s="21" t="s">
        <v>96</v>
      </c>
      <c r="P51" s="22" t="s">
        <v>97</v>
      </c>
    </row>
    <row r="52" spans="1:16" ht="12.75" customHeight="1" thickBot="1" x14ac:dyDescent="0.25">
      <c r="A52" s="10" t="str">
        <f t="shared" si="6"/>
        <v>IBVS 2966 </v>
      </c>
      <c r="B52" s="2" t="str">
        <f t="shared" si="7"/>
        <v>I</v>
      </c>
      <c r="C52" s="10">
        <f t="shared" si="8"/>
        <v>46649.462</v>
      </c>
      <c r="D52" s="3" t="str">
        <f t="shared" si="9"/>
        <v>vis</v>
      </c>
      <c r="E52" s="18">
        <f>VLOOKUP(C52,Active!C$21:E$969,3,FALSE)</f>
        <v>-625.50292168942553</v>
      </c>
      <c r="F52" s="2" t="s">
        <v>89</v>
      </c>
      <c r="G52" s="3" t="str">
        <f t="shared" si="10"/>
        <v>46649.462</v>
      </c>
      <c r="H52" s="10">
        <f t="shared" si="11"/>
        <v>-14162</v>
      </c>
      <c r="I52" s="19" t="s">
        <v>98</v>
      </c>
      <c r="J52" s="20" t="s">
        <v>99</v>
      </c>
      <c r="K52" s="19">
        <v>-14162</v>
      </c>
      <c r="L52" s="19" t="s">
        <v>100</v>
      </c>
      <c r="M52" s="20" t="s">
        <v>94</v>
      </c>
      <c r="N52" s="20" t="s">
        <v>95</v>
      </c>
      <c r="O52" s="21" t="s">
        <v>96</v>
      </c>
      <c r="P52" s="22" t="s">
        <v>97</v>
      </c>
    </row>
    <row r="53" spans="1:16" ht="12.75" customHeight="1" thickBot="1" x14ac:dyDescent="0.25">
      <c r="A53" s="10" t="str">
        <f t="shared" si="6"/>
        <v> BBS 106/113 </v>
      </c>
      <c r="B53" s="2" t="str">
        <f t="shared" si="7"/>
        <v>I</v>
      </c>
      <c r="C53" s="10">
        <f t="shared" si="8"/>
        <v>49219.474999999999</v>
      </c>
      <c r="D53" s="3" t="str">
        <f t="shared" si="9"/>
        <v>vis</v>
      </c>
      <c r="E53" s="18">
        <f>VLOOKUP(C53,Active!C$21:E$969,3,FALSE)</f>
        <v>5594.4936125557151</v>
      </c>
      <c r="F53" s="2" t="s">
        <v>89</v>
      </c>
      <c r="G53" s="3" t="str">
        <f t="shared" si="10"/>
        <v>49219.475</v>
      </c>
      <c r="H53" s="10">
        <f t="shared" si="11"/>
        <v>-7941</v>
      </c>
      <c r="I53" s="19" t="s">
        <v>128</v>
      </c>
      <c r="J53" s="20" t="s">
        <v>129</v>
      </c>
      <c r="K53" s="19">
        <v>-7941</v>
      </c>
      <c r="L53" s="19" t="s">
        <v>130</v>
      </c>
      <c r="M53" s="20" t="s">
        <v>109</v>
      </c>
      <c r="N53" s="20"/>
      <c r="O53" s="21" t="s">
        <v>110</v>
      </c>
      <c r="P53" s="21" t="s">
        <v>131</v>
      </c>
    </row>
    <row r="54" spans="1:16" ht="12.75" customHeight="1" thickBot="1" x14ac:dyDescent="0.25">
      <c r="A54" s="10" t="str">
        <f t="shared" si="6"/>
        <v>VSB 46 </v>
      </c>
      <c r="B54" s="2" t="str">
        <f t="shared" si="7"/>
        <v>I</v>
      </c>
      <c r="C54" s="10">
        <f t="shared" si="8"/>
        <v>54338.079899999997</v>
      </c>
      <c r="D54" s="3" t="str">
        <f t="shared" si="9"/>
        <v>vis</v>
      </c>
      <c r="E54" s="18">
        <f>VLOOKUP(C54,Active!C$21:E$969,3,FALSE)</f>
        <v>17982.642909143007</v>
      </c>
      <c r="F54" s="2" t="s">
        <v>89</v>
      </c>
      <c r="G54" s="3" t="str">
        <f t="shared" si="10"/>
        <v>54338.0799</v>
      </c>
      <c r="H54" s="10">
        <f t="shared" si="11"/>
        <v>4448</v>
      </c>
      <c r="I54" s="19" t="s">
        <v>189</v>
      </c>
      <c r="J54" s="20" t="s">
        <v>190</v>
      </c>
      <c r="K54" s="19">
        <v>4448</v>
      </c>
      <c r="L54" s="19" t="s">
        <v>191</v>
      </c>
      <c r="M54" s="20" t="s">
        <v>164</v>
      </c>
      <c r="N54" s="20" t="s">
        <v>89</v>
      </c>
      <c r="O54" s="21" t="s">
        <v>192</v>
      </c>
      <c r="P54" s="22" t="s">
        <v>193</v>
      </c>
    </row>
    <row r="55" spans="1:16" ht="12.75" customHeight="1" thickBot="1" x14ac:dyDescent="0.25">
      <c r="A55" s="10" t="str">
        <f t="shared" si="6"/>
        <v>OEJV 0094 </v>
      </c>
      <c r="B55" s="2" t="str">
        <f t="shared" si="7"/>
        <v>I</v>
      </c>
      <c r="C55" s="10">
        <f t="shared" si="8"/>
        <v>54624.407800000001</v>
      </c>
      <c r="D55" s="3" t="str">
        <f t="shared" si="9"/>
        <v>vis</v>
      </c>
      <c r="E55" s="18" t="e">
        <f>VLOOKUP(C55,Active!C$21:E$969,3,FALSE)</f>
        <v>#N/A</v>
      </c>
      <c r="F55" s="2" t="s">
        <v>89</v>
      </c>
      <c r="G55" s="3" t="str">
        <f t="shared" si="10"/>
        <v>54624.4078</v>
      </c>
      <c r="H55" s="10">
        <f t="shared" si="11"/>
        <v>5141</v>
      </c>
      <c r="I55" s="19" t="s">
        <v>208</v>
      </c>
      <c r="J55" s="20" t="s">
        <v>209</v>
      </c>
      <c r="K55" s="19">
        <v>5141</v>
      </c>
      <c r="L55" s="19" t="s">
        <v>210</v>
      </c>
      <c r="M55" s="20" t="s">
        <v>164</v>
      </c>
      <c r="N55" s="20" t="s">
        <v>165</v>
      </c>
      <c r="O55" s="21" t="s">
        <v>211</v>
      </c>
      <c r="P55" s="22" t="s">
        <v>212</v>
      </c>
    </row>
    <row r="56" spans="1:16" ht="12.75" customHeight="1" thickBot="1" x14ac:dyDescent="0.25">
      <c r="A56" s="10" t="str">
        <f t="shared" si="6"/>
        <v>OEJV 0094 </v>
      </c>
      <c r="B56" s="2" t="str">
        <f t="shared" si="7"/>
        <v>II</v>
      </c>
      <c r="C56" s="10">
        <f t="shared" si="8"/>
        <v>54675.437700000002</v>
      </c>
      <c r="D56" s="3" t="str">
        <f t="shared" si="9"/>
        <v>vis</v>
      </c>
      <c r="E56" s="18" t="e">
        <f>VLOOKUP(C56,Active!C$21:E$969,3,FALSE)</f>
        <v>#N/A</v>
      </c>
      <c r="F56" s="2" t="s">
        <v>89</v>
      </c>
      <c r="G56" s="3" t="str">
        <f t="shared" si="10"/>
        <v>54675.4377</v>
      </c>
      <c r="H56" s="10">
        <f t="shared" si="11"/>
        <v>5264.5</v>
      </c>
      <c r="I56" s="19" t="s">
        <v>213</v>
      </c>
      <c r="J56" s="20" t="s">
        <v>214</v>
      </c>
      <c r="K56" s="19">
        <v>5264.5</v>
      </c>
      <c r="L56" s="19" t="s">
        <v>175</v>
      </c>
      <c r="M56" s="20" t="s">
        <v>164</v>
      </c>
      <c r="N56" s="20" t="s">
        <v>165</v>
      </c>
      <c r="O56" s="21" t="s">
        <v>211</v>
      </c>
      <c r="P56" s="22" t="s">
        <v>212</v>
      </c>
    </row>
    <row r="57" spans="1:16" ht="12.75" customHeight="1" thickBot="1" x14ac:dyDescent="0.25">
      <c r="A57" s="10" t="str">
        <f t="shared" si="6"/>
        <v>OEJV 0094 </v>
      </c>
      <c r="B57" s="2" t="str">
        <f t="shared" si="7"/>
        <v>I</v>
      </c>
      <c r="C57" s="10">
        <f t="shared" si="8"/>
        <v>54710.348700000002</v>
      </c>
      <c r="D57" s="3" t="str">
        <f t="shared" si="9"/>
        <v>vis</v>
      </c>
      <c r="E57" s="18" t="e">
        <f>VLOOKUP(C57,Active!C$21:E$969,3,FALSE)</f>
        <v>#N/A</v>
      </c>
      <c r="F57" s="2" t="s">
        <v>89</v>
      </c>
      <c r="G57" s="3" t="str">
        <f t="shared" si="10"/>
        <v>54710.3487</v>
      </c>
      <c r="H57" s="10">
        <f t="shared" si="11"/>
        <v>5349</v>
      </c>
      <c r="I57" s="19" t="s">
        <v>218</v>
      </c>
      <c r="J57" s="20" t="s">
        <v>219</v>
      </c>
      <c r="K57" s="19">
        <v>5349</v>
      </c>
      <c r="L57" s="19" t="s">
        <v>220</v>
      </c>
      <c r="M57" s="20" t="s">
        <v>164</v>
      </c>
      <c r="N57" s="20" t="s">
        <v>165</v>
      </c>
      <c r="O57" s="21" t="s">
        <v>211</v>
      </c>
      <c r="P57" s="22" t="s">
        <v>212</v>
      </c>
    </row>
    <row r="58" spans="1:16" ht="12.75" customHeight="1" thickBot="1" x14ac:dyDescent="0.25">
      <c r="A58" s="10" t="str">
        <f t="shared" si="6"/>
        <v>VSB 51 </v>
      </c>
      <c r="B58" s="2" t="str">
        <f t="shared" si="7"/>
        <v>I</v>
      </c>
      <c r="C58" s="10">
        <f t="shared" si="8"/>
        <v>55282.184399999998</v>
      </c>
      <c r="D58" s="3" t="str">
        <f t="shared" si="9"/>
        <v>vis</v>
      </c>
      <c r="E58" s="18">
        <f>VLOOKUP(C58,Active!C$21:E$969,3,FALSE)</f>
        <v>20267.583381415036</v>
      </c>
      <c r="F58" s="2" t="s">
        <v>89</v>
      </c>
      <c r="G58" s="3" t="str">
        <f t="shared" si="10"/>
        <v>55282.1844</v>
      </c>
      <c r="H58" s="10">
        <f t="shared" si="11"/>
        <v>6733</v>
      </c>
      <c r="I58" s="19" t="s">
        <v>239</v>
      </c>
      <c r="J58" s="20" t="s">
        <v>240</v>
      </c>
      <c r="K58" s="19" t="s">
        <v>241</v>
      </c>
      <c r="L58" s="19" t="s">
        <v>242</v>
      </c>
      <c r="M58" s="20" t="s">
        <v>164</v>
      </c>
      <c r="N58" s="20" t="s">
        <v>243</v>
      </c>
      <c r="O58" s="21" t="s">
        <v>244</v>
      </c>
      <c r="P58" s="22" t="s">
        <v>245</v>
      </c>
    </row>
    <row r="59" spans="1:16" ht="12.75" customHeight="1" thickBot="1" x14ac:dyDescent="0.25">
      <c r="A59" s="10" t="str">
        <f t="shared" si="6"/>
        <v>VSB 51 </v>
      </c>
      <c r="B59" s="2" t="str">
        <f t="shared" si="7"/>
        <v>I</v>
      </c>
      <c r="C59" s="10">
        <f t="shared" si="8"/>
        <v>55363.994200000001</v>
      </c>
      <c r="D59" s="3" t="str">
        <f t="shared" si="9"/>
        <v>vis</v>
      </c>
      <c r="E59" s="18">
        <f>VLOOKUP(C59,Active!C$21:E$969,3,FALSE)</f>
        <v>20465.581085110429</v>
      </c>
      <c r="F59" s="2" t="s">
        <v>89</v>
      </c>
      <c r="G59" s="3" t="str">
        <f t="shared" si="10"/>
        <v>55363.9942</v>
      </c>
      <c r="H59" s="10">
        <f t="shared" si="11"/>
        <v>6931</v>
      </c>
      <c r="I59" s="19" t="s">
        <v>246</v>
      </c>
      <c r="J59" s="20" t="s">
        <v>247</v>
      </c>
      <c r="K59" s="19" t="s">
        <v>248</v>
      </c>
      <c r="L59" s="19" t="s">
        <v>237</v>
      </c>
      <c r="M59" s="20" t="s">
        <v>164</v>
      </c>
      <c r="N59" s="20" t="s">
        <v>243</v>
      </c>
      <c r="O59" s="21" t="s">
        <v>244</v>
      </c>
      <c r="P59" s="22" t="s">
        <v>245</v>
      </c>
    </row>
    <row r="60" spans="1:16" ht="12.75" customHeight="1" thickBot="1" x14ac:dyDescent="0.25">
      <c r="A60" s="10" t="str">
        <f t="shared" si="6"/>
        <v>VSB 51 </v>
      </c>
      <c r="B60" s="2" t="str">
        <f t="shared" si="7"/>
        <v>II</v>
      </c>
      <c r="C60" s="10">
        <f t="shared" si="8"/>
        <v>55412.127399999998</v>
      </c>
      <c r="D60" s="3" t="str">
        <f t="shared" si="9"/>
        <v>vis</v>
      </c>
      <c r="E60" s="18">
        <f>VLOOKUP(C60,Active!C$21:E$969,3,FALSE)</f>
        <v>20582.074012259865</v>
      </c>
      <c r="F60" s="2" t="s">
        <v>89</v>
      </c>
      <c r="G60" s="3" t="str">
        <f t="shared" si="10"/>
        <v>55412.1274</v>
      </c>
      <c r="H60" s="10">
        <f t="shared" si="11"/>
        <v>7047.5</v>
      </c>
      <c r="I60" s="19" t="s">
        <v>264</v>
      </c>
      <c r="J60" s="20" t="s">
        <v>265</v>
      </c>
      <c r="K60" s="19" t="s">
        <v>266</v>
      </c>
      <c r="L60" s="19" t="s">
        <v>267</v>
      </c>
      <c r="M60" s="20" t="s">
        <v>164</v>
      </c>
      <c r="N60" s="20" t="s">
        <v>89</v>
      </c>
      <c r="O60" s="21" t="s">
        <v>192</v>
      </c>
      <c r="P60" s="22" t="s">
        <v>245</v>
      </c>
    </row>
    <row r="61" spans="1:16" ht="12.75" customHeight="1" thickBot="1" x14ac:dyDescent="0.25">
      <c r="A61" s="10" t="str">
        <f t="shared" si="6"/>
        <v>VSB 51 </v>
      </c>
      <c r="B61" s="2" t="str">
        <f t="shared" si="7"/>
        <v>I</v>
      </c>
      <c r="C61" s="10">
        <f t="shared" si="8"/>
        <v>55413.161200000002</v>
      </c>
      <c r="D61" s="3" t="str">
        <f t="shared" si="9"/>
        <v>vis</v>
      </c>
      <c r="E61" s="18">
        <f>VLOOKUP(C61,Active!C$21:E$969,3,FALSE)</f>
        <v>20584.576035563692</v>
      </c>
      <c r="F61" s="2" t="s">
        <v>89</v>
      </c>
      <c r="G61" s="3" t="str">
        <f t="shared" si="10"/>
        <v>55413.1612</v>
      </c>
      <c r="H61" s="10">
        <f t="shared" si="11"/>
        <v>7050</v>
      </c>
      <c r="I61" s="19" t="s">
        <v>268</v>
      </c>
      <c r="J61" s="20" t="s">
        <v>269</v>
      </c>
      <c r="K61" s="19" t="s">
        <v>270</v>
      </c>
      <c r="L61" s="19" t="s">
        <v>271</v>
      </c>
      <c r="M61" s="20" t="s">
        <v>164</v>
      </c>
      <c r="N61" s="20" t="s">
        <v>89</v>
      </c>
      <c r="O61" s="21" t="s">
        <v>192</v>
      </c>
      <c r="P61" s="22" t="s">
        <v>245</v>
      </c>
    </row>
    <row r="62" spans="1:16" ht="12.75" customHeight="1" thickBot="1" x14ac:dyDescent="0.25">
      <c r="A62" s="10" t="str">
        <f t="shared" si="6"/>
        <v>BAVM 225 </v>
      </c>
      <c r="B62" s="2" t="str">
        <f t="shared" si="7"/>
        <v>II</v>
      </c>
      <c r="C62" s="10">
        <f t="shared" si="8"/>
        <v>55671.597900000001</v>
      </c>
      <c r="D62" s="3" t="str">
        <f t="shared" si="9"/>
        <v>vis</v>
      </c>
      <c r="E62" s="18">
        <f>VLOOKUP(C62,Active!C$21:E$969,3,FALSE)</f>
        <v>21210.049672592664</v>
      </c>
      <c r="F62" s="2" t="s">
        <v>89</v>
      </c>
      <c r="G62" s="3" t="str">
        <f t="shared" si="10"/>
        <v>55671.5979</v>
      </c>
      <c r="H62" s="10">
        <f t="shared" si="11"/>
        <v>7675.5</v>
      </c>
      <c r="I62" s="19" t="s">
        <v>287</v>
      </c>
      <c r="J62" s="20" t="s">
        <v>288</v>
      </c>
      <c r="K62" s="19" t="s">
        <v>289</v>
      </c>
      <c r="L62" s="19" t="s">
        <v>290</v>
      </c>
      <c r="M62" s="20" t="s">
        <v>164</v>
      </c>
      <c r="N62" s="20" t="s">
        <v>180</v>
      </c>
      <c r="O62" s="21" t="s">
        <v>291</v>
      </c>
      <c r="P62" s="22" t="s">
        <v>292</v>
      </c>
    </row>
    <row r="63" spans="1:16" ht="12.75" customHeight="1" thickBot="1" x14ac:dyDescent="0.25">
      <c r="A63" s="10" t="str">
        <f t="shared" si="6"/>
        <v>BAVM 225 </v>
      </c>
      <c r="B63" s="2" t="str">
        <f t="shared" si="7"/>
        <v>I</v>
      </c>
      <c r="C63" s="10">
        <f t="shared" si="8"/>
        <v>55830.469899999996</v>
      </c>
      <c r="D63" s="3" t="str">
        <f t="shared" si="9"/>
        <v>vis</v>
      </c>
      <c r="E63" s="18">
        <f>VLOOKUP(C63,Active!C$21:E$969,3,FALSE)</f>
        <v>21594.554844118476</v>
      </c>
      <c r="F63" s="2" t="s">
        <v>89</v>
      </c>
      <c r="G63" s="3" t="str">
        <f t="shared" si="10"/>
        <v>55830.4699</v>
      </c>
      <c r="H63" s="10">
        <f t="shared" si="11"/>
        <v>8060</v>
      </c>
      <c r="I63" s="19" t="s">
        <v>299</v>
      </c>
      <c r="J63" s="20" t="s">
        <v>300</v>
      </c>
      <c r="K63" s="19" t="s">
        <v>301</v>
      </c>
      <c r="L63" s="19" t="s">
        <v>275</v>
      </c>
      <c r="M63" s="20" t="s">
        <v>164</v>
      </c>
      <c r="N63" s="20" t="s">
        <v>89</v>
      </c>
      <c r="O63" s="21" t="s">
        <v>302</v>
      </c>
      <c r="P63" s="22" t="s">
        <v>292</v>
      </c>
    </row>
    <row r="64" spans="1:1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</sheetData>
  <phoneticPr fontId="7" type="noConversion"/>
  <hyperlinks>
    <hyperlink ref="P51" r:id="rId1" display="http://www.konkoly.hu/cgi-bin/IBVS?2966" xr:uid="{00000000-0004-0000-0100-000000000000}"/>
    <hyperlink ref="P52" r:id="rId2" display="http://www.konkoly.hu/cgi-bin/IBVS?2966" xr:uid="{00000000-0004-0000-0100-000001000000}"/>
    <hyperlink ref="P11" r:id="rId3" display="http://www.konkoly.hu/cgi-bin/IBVS?3090" xr:uid="{00000000-0004-0000-0100-000002000000}"/>
    <hyperlink ref="P22" r:id="rId4" display="http://www.konkoly.hu/cgi-bin/IBVS?5027" xr:uid="{00000000-0004-0000-0100-000003000000}"/>
    <hyperlink ref="P23" r:id="rId5" display="http://www.konkoly.hu/cgi-bin/IBVS?5027" xr:uid="{00000000-0004-0000-0100-000004000000}"/>
    <hyperlink ref="P24" r:id="rId6" display="http://www.konkoly.hu/cgi-bin/IBVS?5677" xr:uid="{00000000-0004-0000-0100-000005000000}"/>
    <hyperlink ref="P25" r:id="rId7" display="http://www.konkoly.hu/cgi-bin/IBVS?5760" xr:uid="{00000000-0004-0000-0100-000006000000}"/>
    <hyperlink ref="P26" r:id="rId8" display="http://www.konkoly.hu/cgi-bin/IBVS?5777" xr:uid="{00000000-0004-0000-0100-000007000000}"/>
    <hyperlink ref="P27" r:id="rId9" display="http://www.konkoly.hu/cgi-bin/IBVS?5820" xr:uid="{00000000-0004-0000-0100-000008000000}"/>
    <hyperlink ref="P28" r:id="rId10" display="http://www.bav-astro.de/sfs/BAVM_link.php?BAVMnr=234" xr:uid="{00000000-0004-0000-0100-000009000000}"/>
    <hyperlink ref="P29" r:id="rId11" display="http://www.bav-astro.de/sfs/BAVM_link.php?BAVMnr=234" xr:uid="{00000000-0004-0000-0100-00000A000000}"/>
    <hyperlink ref="P30" r:id="rId12" display="http://www.bav-astro.de/sfs/BAVM_link.php?BAVMnr=234" xr:uid="{00000000-0004-0000-0100-00000B000000}"/>
    <hyperlink ref="P54" r:id="rId13" display="http://vsolj.cetus-net.org/no46.pdf" xr:uid="{00000000-0004-0000-0100-00000C000000}"/>
    <hyperlink ref="P31" r:id="rId14" display="http://www.bav-astro.de/sfs/BAVM_link.php?BAVMnr=193" xr:uid="{00000000-0004-0000-0100-00000D000000}"/>
    <hyperlink ref="P32" r:id="rId15" display="http://www.bav-astro.de/sfs/BAVM_link.php?BAVMnr=201" xr:uid="{00000000-0004-0000-0100-00000E000000}"/>
    <hyperlink ref="P33" r:id="rId16" display="http://www.konkoly.hu/cgi-bin/IBVS?5898" xr:uid="{00000000-0004-0000-0100-00000F000000}"/>
    <hyperlink ref="P55" r:id="rId17" display="http://var.astro.cz/oejv/issues/oejv0094.pdf" xr:uid="{00000000-0004-0000-0100-000010000000}"/>
    <hyperlink ref="P56" r:id="rId18" display="http://var.astro.cz/oejv/issues/oejv0094.pdf" xr:uid="{00000000-0004-0000-0100-000011000000}"/>
    <hyperlink ref="P34" r:id="rId19" display="http://www.konkoly.hu/cgi-bin/IBVS?5898" xr:uid="{00000000-0004-0000-0100-000012000000}"/>
    <hyperlink ref="P57" r:id="rId20" display="http://var.astro.cz/oejv/issues/oejv0094.pdf" xr:uid="{00000000-0004-0000-0100-000013000000}"/>
    <hyperlink ref="P35" r:id="rId21" display="http://www.bav-astro.de/sfs/BAVM_link.php?BAVMnr=209" xr:uid="{00000000-0004-0000-0100-000014000000}"/>
    <hyperlink ref="P36" r:id="rId22" display="http://www.konkoly.hu/cgi-bin/IBVS?5898" xr:uid="{00000000-0004-0000-0100-000015000000}"/>
    <hyperlink ref="P37" r:id="rId23" display="http://www.konkoly.hu/cgi-bin/IBVS?5898" xr:uid="{00000000-0004-0000-0100-000016000000}"/>
    <hyperlink ref="P38" r:id="rId24" display="http://www.konkoly.hu/cgi-bin/IBVS?5980" xr:uid="{00000000-0004-0000-0100-000017000000}"/>
    <hyperlink ref="P58" r:id="rId25" display="http://vsolj.cetus-net.org/vsoljno51.pdf" xr:uid="{00000000-0004-0000-0100-000018000000}"/>
    <hyperlink ref="P59" r:id="rId26" display="http://vsolj.cetus-net.org/vsoljno51.pdf" xr:uid="{00000000-0004-0000-0100-000019000000}"/>
    <hyperlink ref="P39" r:id="rId27" display="http://www.konkoly.hu/cgi-bin/IBVS?5965" xr:uid="{00000000-0004-0000-0100-00001A000000}"/>
    <hyperlink ref="P40" r:id="rId28" display="http://www.konkoly.hu/cgi-bin/IBVS?5965" xr:uid="{00000000-0004-0000-0100-00001B000000}"/>
    <hyperlink ref="P41" r:id="rId29" display="http://www.konkoly.hu/cgi-bin/IBVS?5965" xr:uid="{00000000-0004-0000-0100-00001C000000}"/>
    <hyperlink ref="P60" r:id="rId30" display="http://vsolj.cetus-net.org/vsoljno51.pdf" xr:uid="{00000000-0004-0000-0100-00001D000000}"/>
    <hyperlink ref="P61" r:id="rId31" display="http://vsolj.cetus-net.org/vsoljno51.pdf" xr:uid="{00000000-0004-0000-0100-00001E000000}"/>
    <hyperlink ref="P42" r:id="rId32" display="http://www.konkoly.hu/cgi-bin/IBVS?6039" xr:uid="{00000000-0004-0000-0100-00001F000000}"/>
    <hyperlink ref="P43" r:id="rId33" display="http://www.konkoly.hu/cgi-bin/IBVS?5980" xr:uid="{00000000-0004-0000-0100-000020000000}"/>
    <hyperlink ref="P44" r:id="rId34" display="http://www.konkoly.hu/cgi-bin/IBVS?6044" xr:uid="{00000000-0004-0000-0100-000021000000}"/>
    <hyperlink ref="P62" r:id="rId35" display="http://www.bav-astro.de/sfs/BAVM_link.php?BAVMnr=225" xr:uid="{00000000-0004-0000-0100-000022000000}"/>
    <hyperlink ref="P45" r:id="rId36" display="http://www.konkoly.hu/cgi-bin/IBVS?6041" xr:uid="{00000000-0004-0000-0100-000023000000}"/>
    <hyperlink ref="P63" r:id="rId37" display="http://www.bav-astro.de/sfs/BAVM_link.php?BAVMnr=225" xr:uid="{00000000-0004-0000-0100-000024000000}"/>
    <hyperlink ref="P46" r:id="rId38" display="http://www.bav-astro.de/sfs/BAVM_link.php?BAVMnr=228" xr:uid="{00000000-0004-0000-0100-000025000000}"/>
    <hyperlink ref="P47" r:id="rId39" display="http://www.konkoly.hu/cgi-bin/IBVS?6044" xr:uid="{00000000-0004-0000-0100-000026000000}"/>
    <hyperlink ref="P48" r:id="rId40" display="http://www.konkoly.hu/cgi-bin/IBVS?6044" xr:uid="{00000000-0004-0000-0100-000027000000}"/>
    <hyperlink ref="P49" r:id="rId41" display="http://www.konkoly.hu/cgi-bin/IBVS?6044" xr:uid="{00000000-0004-0000-0100-000028000000}"/>
    <hyperlink ref="P50" r:id="rId42" display="http://www.bav-astro.de/sfs/BAVM_link.php?BAVMnr=232" xr:uid="{00000000-0004-0000-01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2023-12-29T06:54:00Z</dcterms:modified>
</cp:coreProperties>
</file>