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7FCDDEA-2DE9-4AD5-8CEF-93329F663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E48" i="2" l="1"/>
  <c r="F48" i="2" s="1"/>
  <c r="G48" i="2" s="1"/>
  <c r="K48" i="2" s="1"/>
  <c r="Q48" i="2"/>
  <c r="E49" i="2"/>
  <c r="F49" i="2"/>
  <c r="G49" i="2" s="1"/>
  <c r="K49" i="2" s="1"/>
  <c r="Q49" i="2"/>
  <c r="E44" i="2"/>
  <c r="F44" i="2" s="1"/>
  <c r="U44" i="2" s="1"/>
  <c r="Q44" i="2"/>
  <c r="E47" i="2"/>
  <c r="F47" i="2" s="1"/>
  <c r="G47" i="2" s="1"/>
  <c r="K47" i="2" s="1"/>
  <c r="Q47" i="2"/>
  <c r="E43" i="2"/>
  <c r="F43" i="2" s="1"/>
  <c r="G43" i="2" s="1"/>
  <c r="K43" i="2" s="1"/>
  <c r="E35" i="2"/>
  <c r="F35" i="2"/>
  <c r="G35" i="2" s="1"/>
  <c r="K35" i="2" s="1"/>
  <c r="E36" i="2"/>
  <c r="F36" i="2" s="1"/>
  <c r="G36" i="2" s="1"/>
  <c r="J36" i="2" s="1"/>
  <c r="E37" i="2"/>
  <c r="F37" i="2" s="1"/>
  <c r="G37" i="2" s="1"/>
  <c r="J37" i="2" s="1"/>
  <c r="E38" i="2"/>
  <c r="F38" i="2" s="1"/>
  <c r="G38" i="2" s="1"/>
  <c r="K38" i="2" s="1"/>
  <c r="E39" i="2"/>
  <c r="F39" i="2" s="1"/>
  <c r="G39" i="2" s="1"/>
  <c r="J39" i="2" s="1"/>
  <c r="E40" i="2"/>
  <c r="F40" i="2" s="1"/>
  <c r="G40" i="2" s="1"/>
  <c r="J40" i="2" s="1"/>
  <c r="E41" i="2"/>
  <c r="F41" i="2" s="1"/>
  <c r="G41" i="2" s="1"/>
  <c r="K41" i="2" s="1"/>
  <c r="E42" i="2"/>
  <c r="F42" i="2" s="1"/>
  <c r="G42" i="2" s="1"/>
  <c r="K42" i="2" s="1"/>
  <c r="E45" i="2"/>
  <c r="F45" i="2" s="1"/>
  <c r="G45" i="2" s="1"/>
  <c r="K45" i="2" s="1"/>
  <c r="E46" i="2"/>
  <c r="F46" i="2" s="1"/>
  <c r="G46" i="2" s="1"/>
  <c r="K46" i="2" s="1"/>
  <c r="Q43" i="2"/>
  <c r="E27" i="2"/>
  <c r="F27" i="2" s="1"/>
  <c r="G27" i="2" s="1"/>
  <c r="K27" i="2" s="1"/>
  <c r="E28" i="2"/>
  <c r="F28" i="2" s="1"/>
  <c r="G28" i="2" s="1"/>
  <c r="K28" i="2" s="1"/>
  <c r="E29" i="2"/>
  <c r="F29" i="2" s="1"/>
  <c r="G29" i="2" s="1"/>
  <c r="K29" i="2" s="1"/>
  <c r="E30" i="2"/>
  <c r="F30" i="2" s="1"/>
  <c r="G30" i="2" s="1"/>
  <c r="K30" i="2" s="1"/>
  <c r="E31" i="2"/>
  <c r="F31" i="2" s="1"/>
  <c r="G31" i="2" s="1"/>
  <c r="J31" i="2" s="1"/>
  <c r="E32" i="2"/>
  <c r="F32" i="2" s="1"/>
  <c r="G32" i="2" s="1"/>
  <c r="J32" i="2" s="1"/>
  <c r="E33" i="2"/>
  <c r="F33" i="2" s="1"/>
  <c r="G33" i="2" s="1"/>
  <c r="K33" i="2" s="1"/>
  <c r="E34" i="2"/>
  <c r="F34" i="2" s="1"/>
  <c r="G34" i="2" s="1"/>
  <c r="K34" i="2" s="1"/>
  <c r="Q46" i="2"/>
  <c r="Q45" i="2"/>
  <c r="Q42" i="2"/>
  <c r="Q41" i="2"/>
  <c r="D9" i="2"/>
  <c r="C9" i="2"/>
  <c r="Q40" i="2"/>
  <c r="Q33" i="2"/>
  <c r="Q34" i="2"/>
  <c r="Q35" i="2"/>
  <c r="Q30" i="2"/>
  <c r="G12" i="3"/>
  <c r="C12" i="3" s="1"/>
  <c r="G18" i="3"/>
  <c r="C18" i="3" s="1"/>
  <c r="E18" i="3" s="1"/>
  <c r="G17" i="3"/>
  <c r="C17" i="3"/>
  <c r="E17" i="3" s="1"/>
  <c r="G16" i="3"/>
  <c r="C16" i="3"/>
  <c r="G15" i="3"/>
  <c r="C15" i="3" s="1"/>
  <c r="E15" i="3" s="1"/>
  <c r="G21" i="3"/>
  <c r="C21" i="3" s="1"/>
  <c r="E21" i="3" s="1"/>
  <c r="G20" i="3"/>
  <c r="C20" i="3"/>
  <c r="E20" i="3" s="1"/>
  <c r="G19" i="3"/>
  <c r="C19" i="3"/>
  <c r="G14" i="3"/>
  <c r="C14" i="3" s="1"/>
  <c r="G13" i="3"/>
  <c r="C13" i="3" s="1"/>
  <c r="E13" i="3" s="1"/>
  <c r="G22" i="3"/>
  <c r="C22" i="3"/>
  <c r="E22" i="3" s="1"/>
  <c r="H12" i="3"/>
  <c r="B12" i="3"/>
  <c r="D12" i="3"/>
  <c r="A12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21" i="3"/>
  <c r="D21" i="3"/>
  <c r="B21" i="3"/>
  <c r="A21" i="3"/>
  <c r="H20" i="3"/>
  <c r="B20" i="3"/>
  <c r="D20" i="3"/>
  <c r="A20" i="3"/>
  <c r="H19" i="3"/>
  <c r="D19" i="3"/>
  <c r="B19" i="3"/>
  <c r="A19" i="3"/>
  <c r="H14" i="3"/>
  <c r="B14" i="3"/>
  <c r="D14" i="3"/>
  <c r="A14" i="3"/>
  <c r="H13" i="3"/>
  <c r="D13" i="3"/>
  <c r="B13" i="3"/>
  <c r="A13" i="3"/>
  <c r="H22" i="3"/>
  <c r="B22" i="3"/>
  <c r="D22" i="3"/>
  <c r="A22" i="3"/>
  <c r="E24" i="2"/>
  <c r="F24" i="2"/>
  <c r="G24" i="2"/>
  <c r="K24" i="2" s="1"/>
  <c r="E25" i="2"/>
  <c r="F25" i="2" s="1"/>
  <c r="G25" i="2" s="1"/>
  <c r="K25" i="2" s="1"/>
  <c r="E26" i="2"/>
  <c r="F26" i="2"/>
  <c r="G26" i="2" s="1"/>
  <c r="K26" i="2" s="1"/>
  <c r="Q31" i="2"/>
  <c r="Q39" i="2"/>
  <c r="Q38" i="2"/>
  <c r="Q36" i="2"/>
  <c r="Q37" i="2"/>
  <c r="Q32" i="2"/>
  <c r="Q29" i="2"/>
  <c r="E21" i="2"/>
  <c r="F21" i="2" s="1"/>
  <c r="G21" i="2" s="1"/>
  <c r="H21" i="2" s="1"/>
  <c r="E22" i="2"/>
  <c r="F22" i="2"/>
  <c r="G22" i="2" s="1"/>
  <c r="H22" i="2" s="1"/>
  <c r="E23" i="2"/>
  <c r="F23" i="2"/>
  <c r="G23" i="2" s="1"/>
  <c r="H23" i="2" s="1"/>
  <c r="F16" i="2"/>
  <c r="F17" i="2" s="1"/>
  <c r="C17" i="2"/>
  <c r="Q28" i="2"/>
  <c r="G11" i="1"/>
  <c r="F11" i="1"/>
  <c r="E15" i="1"/>
  <c r="C17" i="1"/>
  <c r="Q21" i="2"/>
  <c r="Q22" i="2"/>
  <c r="Q23" i="2"/>
  <c r="Q24" i="2"/>
  <c r="Q25" i="2"/>
  <c r="Q26" i="2"/>
  <c r="Q27" i="2"/>
  <c r="E27" i="1"/>
  <c r="F27" i="1" s="1"/>
  <c r="G27" i="1" s="1"/>
  <c r="I27" i="1" s="1"/>
  <c r="Q27" i="1"/>
  <c r="E22" i="1"/>
  <c r="F22" i="1"/>
  <c r="G22" i="1"/>
  <c r="H22" i="1"/>
  <c r="E23" i="1"/>
  <c r="F23" i="1"/>
  <c r="G23" i="1"/>
  <c r="H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E21" i="1"/>
  <c r="F21" i="1"/>
  <c r="G21" i="1"/>
  <c r="H21" i="1" s="1"/>
  <c r="Q21" i="1"/>
  <c r="C11" i="2"/>
  <c r="C12" i="2"/>
  <c r="C12" i="1"/>
  <c r="O48" i="2" l="1"/>
  <c r="O49" i="2"/>
  <c r="E12" i="3"/>
  <c r="E14" i="3"/>
  <c r="E16" i="3"/>
  <c r="E19" i="3"/>
  <c r="O38" i="2"/>
  <c r="O45" i="2"/>
  <c r="O27" i="2"/>
  <c r="O29" i="2"/>
  <c r="O35" i="2"/>
  <c r="O46" i="2"/>
  <c r="O47" i="2"/>
  <c r="O44" i="2"/>
  <c r="O42" i="2"/>
  <c r="O33" i="2"/>
  <c r="O21" i="2"/>
  <c r="C15" i="2"/>
  <c r="O37" i="2"/>
  <c r="O39" i="2"/>
  <c r="O26" i="2"/>
  <c r="O30" i="2"/>
  <c r="O41" i="2"/>
  <c r="O23" i="2"/>
  <c r="O34" i="2"/>
  <c r="O28" i="2"/>
  <c r="O25" i="2"/>
  <c r="O31" i="2"/>
  <c r="O36" i="2"/>
  <c r="O24" i="2"/>
  <c r="O32" i="2"/>
  <c r="O43" i="2"/>
  <c r="O40" i="2"/>
  <c r="O22" i="2"/>
  <c r="C16" i="2"/>
  <c r="D18" i="2" s="1"/>
  <c r="C16" i="1"/>
  <c r="D18" i="1" s="1"/>
  <c r="C11" i="1"/>
  <c r="O27" i="1" l="1"/>
  <c r="O24" i="1"/>
  <c r="C15" i="1"/>
  <c r="C18" i="1" s="1"/>
  <c r="O25" i="1"/>
  <c r="O21" i="1"/>
  <c r="O26" i="1"/>
  <c r="O23" i="1"/>
  <c r="O22" i="1"/>
  <c r="F18" i="2"/>
  <c r="F19" i="2" s="1"/>
  <c r="C18" i="2"/>
  <c r="E16" i="1" l="1"/>
  <c r="E17" i="1" s="1"/>
</calcChain>
</file>

<file path=xl/sharedStrings.xml><?xml version="1.0" encoding="utf-8"?>
<sst xmlns="http://schemas.openxmlformats.org/spreadsheetml/2006/main" count="270" uniqueCount="138">
  <si>
    <t>IBVS 6244</t>
  </si>
  <si>
    <t>IBVS 6195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</si>
  <si>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</si>
  <si>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</si>
  <si>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</si>
  <si>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</si>
  <si>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</si>
  <si>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</si>
  <si>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</si>
  <si>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</si>
  <si>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</si>
  <si>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</si>
  <si>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</si>
  <si>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</si>
  <si>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</si>
  <si>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</si>
  <si>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</si>
  <si>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</si>
  <si>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</si>
  <si>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</si>
  <si>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</si>
  <si>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</si>
  <si>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</si>
  <si>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</si>
  <si>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</si>
  <si>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</si>
  <si>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</si>
  <si>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</si>
  <si>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</si>
  <si>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</si>
  <si>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</si>
  <si>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</si>
  <si>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</si>
  <si>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ROTSE</t>
  </si>
  <si>
    <t>I</t>
  </si>
  <si>
    <t>II</t>
  </si>
  <si>
    <t>EW?</t>
  </si>
  <si>
    <t>IBVS 5285</t>
  </si>
  <si>
    <t>V2364 Cyg / GSC 3551-1708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</si>
  <si>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</si>
  <si>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</si>
  <si>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</si>
  <si>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</si>
  <si>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</si>
  <si>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</si>
  <si>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RHN 2008</t>
  </si>
  <si>
    <t>Nelson</t>
  </si>
  <si>
    <t>Start of linear fit &gt;&gt;&gt;&gt;&gt;&gt;&gt;&gt;&gt;&gt;&gt;&gt;&gt;&gt;&gt;&gt;&gt;&gt;&gt;&gt;&gt;</t>
  </si>
  <si>
    <t>IBVS 5875</t>
  </si>
  <si>
    <t>Add cycle</t>
  </si>
  <si>
    <t>Old Cycle</t>
  </si>
  <si>
    <t>IBVS 6010</t>
  </si>
  <si>
    <t>IBVS 6070</t>
  </si>
  <si>
    <t>IBVS 6084</t>
  </si>
  <si>
    <t>IBVS 5984</t>
  </si>
  <si>
    <t>IBVS 6152</t>
  </si>
  <si>
    <t>OEJV 0165</t>
  </si>
  <si>
    <t>9,00E-05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</si>
  <si>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</si>
  <si>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</si>
  <si>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</si>
  <si>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</si>
  <si>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</si>
  <si>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</si>
  <si>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</si>
  <si>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</si>
  <si>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</si>
  <si>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</si>
  <si>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</si>
  <si>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</si>
  <si>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2455066.4561 </t>
  </si>
  <si>
    <t> 22.08.2009 22:56 </t>
  </si>
  <si>
    <t> -0.0105 </t>
  </si>
  <si>
    <t>C </t>
  </si>
  <si>
    <t>-I</t>
  </si>
  <si>
    <t> F.Agerer </t>
  </si>
  <si>
    <t>BAVM 212 </t>
  </si>
  <si>
    <t>2455418.4816 </t>
  </si>
  <si>
    <t> 09.08.2010 23:33 </t>
  </si>
  <si>
    <t>5457.5</t>
  </si>
  <si>
    <t> -0.0108 </t>
  </si>
  <si>
    <t>BAVM 215 </t>
  </si>
  <si>
    <t>2455674.5767 </t>
  </si>
  <si>
    <t> 23.04.2011 01:50 </t>
  </si>
  <si>
    <t>5890</t>
  </si>
  <si>
    <t> -0.0152 </t>
  </si>
  <si>
    <t>BAVM 220 </t>
  </si>
  <si>
    <t>2455838.3043 </t>
  </si>
  <si>
    <t> 03.10.2011 19:18 </t>
  </si>
  <si>
    <t>6166.5</t>
  </si>
  <si>
    <t> -0.0136 </t>
  </si>
  <si>
    <t> K.&amp; M.Rätz </t>
  </si>
  <si>
    <t>BAVM 225 </t>
  </si>
  <si>
    <t>2455848.3708 </t>
  </si>
  <si>
    <t> 13.10.2011 20:53 </t>
  </si>
  <si>
    <t>6183.5</t>
  </si>
  <si>
    <t> -0.0135 </t>
  </si>
  <si>
    <t>2456142.0717 </t>
  </si>
  <si>
    <t> 02.08.2012 13:43 </t>
  </si>
  <si>
    <t>6679.5</t>
  </si>
  <si>
    <t> -0.0128 </t>
  </si>
  <si>
    <t> H.Itoh </t>
  </si>
  <si>
    <t>VSB 55 </t>
  </si>
  <si>
    <t>2456157.4702 </t>
  </si>
  <si>
    <t> 17.08.2012 23:17 </t>
  </si>
  <si>
    <t>6705.5</t>
  </si>
  <si>
    <t> -0.0099 </t>
  </si>
  <si>
    <t>BAVM 231 </t>
  </si>
  <si>
    <t>2456490.5381 </t>
  </si>
  <si>
    <t> 17.07.2013 00:54 </t>
  </si>
  <si>
    <t>7268</t>
  </si>
  <si>
    <t> -0.0194 </t>
  </si>
  <si>
    <t>BAVM 232 </t>
  </si>
  <si>
    <t>2456520.44111 </t>
  </si>
  <si>
    <t> 15.08.2013 22:35 </t>
  </si>
  <si>
    <t>7318.5</t>
  </si>
  <si>
    <t> -0.01935 </t>
  </si>
  <si>
    <t>R</t>
  </si>
  <si>
    <t> K.Ho?kova </t>
  </si>
  <si>
    <t>OEJV 0160 </t>
  </si>
  <si>
    <t>2456933.4565 </t>
  </si>
  <si>
    <t> 02.10.2014 22:57 </t>
  </si>
  <si>
    <t>8016</t>
  </si>
  <si>
    <t> -0.0199 </t>
  </si>
  <si>
    <t>BAVM 239 </t>
  </si>
  <si>
    <t>2457161.4249 </t>
  </si>
  <si>
    <t> 18.05.2015 22:11 </t>
  </si>
  <si>
    <t>8401</t>
  </si>
  <si>
    <t> -0.0245 </t>
  </si>
  <si>
    <t>BAVM 241 (=IBVS 6157) </t>
  </si>
  <si>
    <t>OEJV 0179</t>
  </si>
  <si>
    <t>RHN 2020</t>
  </si>
  <si>
    <t>2020JAVSO..48….1</t>
  </si>
  <si>
    <t>IBVS 6262</t>
  </si>
  <si>
    <t>OEJV 0211</t>
  </si>
  <si>
    <t>BAD?</t>
  </si>
  <si>
    <t>JBAV, 60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</si>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</sst>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5" xfId="0" applyBorder="1">
      <alignment vertical="top"/>
    </xf>
    <xf numFmtId="4" fontId="0" fillId="24" borderId="5" xfId="28" applyFont="1" applyFill="1" applyBorder="1"/>
    <xf numFmtId="4" fontId="0" fillId="24" borderId="11" xfId="28" applyFont="1" applyFill="1" applyBorder="1" applyAlignment="1">
      <alignment horizontal="center"/>
    </xf>
    <xf numFmtId="4" fontId="0" fillId="24" borderId="5" xfId="28" applyFont="1" applyFill="1" applyBorder="1" applyAlignment="1">
      <alignment horizontal="center"/>
    </xf>
    <xf numFmtId="4" fontId="4" fillId="24" borderId="5" xfId="28" applyFont="1" applyFill="1" applyBorder="1" applyAlignment="1">
      <alignment horizontal="center"/>
    </xf>
    <xf numFmtId="0" fontId="12" fillId="24" borderId="5" xfId="28" applyNumberFormat="1" applyFont="1" applyFill="1" applyBorder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0" fillId="24" borderId="11" xfId="28" applyNumberFormat="1" applyFont="1" applyFill="1" applyBorder="1" applyAlignment="1">
      <alignment horizontal="left"/>
    </xf>
    <xf numFmtId="0" fontId="0" fillId="24" borderId="5" xfId="28" applyNumberFormat="1" applyFont="1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7" fillId="0" borderId="12" xfId="0" applyFont="1" applyBorder="1">
      <alignment vertical="top"/>
    </xf>
    <xf numFmtId="0" fontId="9" fillId="0" borderId="0" xfId="0" applyFont="1" applyAlignment="1"/>
    <xf numFmtId="0" fontId="9" fillId="25" borderId="0" xfId="0" applyFont="1" applyFill="1" applyAlignment="1"/>
    <xf numFmtId="4" fontId="6" fillId="24" borderId="5" xfId="28" applyFont="1" applyFill="1" applyBorder="1"/>
    <xf numFmtId="4" fontId="6" fillId="24" borderId="11" xfId="28" applyFont="1" applyFill="1" applyBorder="1" applyAlignment="1">
      <alignment horizontal="center"/>
    </xf>
    <xf numFmtId="0" fontId="6" fillId="24" borderId="11" xfId="28" applyNumberFormat="1" applyFont="1" applyFill="1" applyBorder="1" applyAlignment="1">
      <alignment horizontal="left"/>
    </xf>
    <xf numFmtId="4" fontId="6" fillId="24" borderId="5" xfId="28" applyFont="1" applyFill="1" applyBorder="1" applyAlignment="1">
      <alignment horizontal="center"/>
    </xf>
    <xf numFmtId="0" fontId="6" fillId="24" borderId="5" xfId="28" applyNumberFormat="1" applyFont="1" applyFill="1" applyBorder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12" xfId="0" applyBorder="1">
      <alignment vertical="top"/>
    </xf>
    <xf numFmtId="4" fontId="4" fillId="24" borderId="0" xfId="28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6" fillId="24" borderId="0" xfId="28" applyNumberFormat="1" applyFont="1" applyFill="1" applyBorder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6" borderId="19" xfId="0" applyFont="1" applyFill="1" applyBorder="1" applyAlignment="1">
      <alignment horizontal="left" vertical="top" wrapText="1" indent="1"/>
    </xf>
    <xf numFmtId="0" fontId="5" fillId="26" borderId="19" xfId="0" applyFont="1" applyFill="1" applyBorder="1" applyAlignment="1">
      <alignment horizontal="center" vertical="top" wrapText="1"/>
    </xf>
    <xf numFmtId="0" fontId="5" fillId="26" borderId="19" xfId="0" applyFont="1" applyFill="1" applyBorder="1" applyAlignment="1">
      <alignment horizontal="right" vertical="top" wrapText="1"/>
    </xf>
    <xf numFmtId="0" fontId="19" fillId="26" borderId="19" xfId="39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43" applyFont="1" applyAlignment="1">
      <alignment horizontal="left"/>
    </xf>
    <xf numFmtId="0" fontId="12" fillId="0" borderId="0" xfId="43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35" fillId="0" borderId="0" xfId="44" applyFont="1" applyAlignment="1">
      <alignment horizontal="left" wrapText="1"/>
    </xf>
    <xf numFmtId="0" fontId="5" fillId="0" borderId="0" xfId="44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6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V2364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  <c:pt idx="28">
                  <c:v>9342.5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-1.4877617795718834E-3</c:v>
                </c:pt>
                <c:pt idx="1">
                  <c:v>-1.1657714494504035E-3</c:v>
                </c:pt>
                <c:pt idx="2">
                  <c:v>1.1022025137208402E-4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B-456E-ADF6-12F1A3CFD0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  <c:pt idx="28">
                  <c:v>9342.5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B-456E-ADF6-12F1A3CFD0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  <c:pt idx="28">
                  <c:v>9342.5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0">
                  <c:v>-2.5007203730638139E-3</c:v>
                </c:pt>
                <c:pt idx="11">
                  <c:v>-6.3443771869060583E-3</c:v>
                </c:pt>
                <c:pt idx="15">
                  <c:v>1.4461824321188033E-5</c:v>
                </c:pt>
                <c:pt idx="16">
                  <c:v>-8.7463635209132917E-3</c:v>
                </c:pt>
                <c:pt idx="18">
                  <c:v>-8.2882254719152115E-3</c:v>
                </c:pt>
                <c:pt idx="19">
                  <c:v>-1.2358301479252987E-2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B-456E-ADF6-12F1A3CFD0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  <c:pt idx="28">
                  <c:v>9342.5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3">
                  <c:v>3.7964275543345138E-4</c:v>
                </c:pt>
                <c:pt idx="4">
                  <c:v>2.1963561594020575E-3</c:v>
                </c:pt>
                <c:pt idx="5">
                  <c:v>1.0091738076880574E-3</c:v>
                </c:pt>
                <c:pt idx="6">
                  <c:v>-1.0418597230454907E-3</c:v>
                </c:pt>
                <c:pt idx="7">
                  <c:v>-1.3421677504084073E-3</c:v>
                </c:pt>
                <c:pt idx="8">
                  <c:v>-1.3421677504084073E-3</c:v>
                </c:pt>
                <c:pt idx="9">
                  <c:v>-2.9787458624923602E-3</c:v>
                </c:pt>
                <c:pt idx="12">
                  <c:v>-4.4274317697272636E-3</c:v>
                </c:pt>
                <c:pt idx="13">
                  <c:v>-4.2442922785994597E-3</c:v>
                </c:pt>
                <c:pt idx="14">
                  <c:v>-2.9421044746413827E-3</c:v>
                </c:pt>
                <c:pt idx="17">
                  <c:v>-6.2488020557793789E-3</c:v>
                </c:pt>
                <c:pt idx="20">
                  <c:v>-1.1641271150438115E-2</c:v>
                </c:pt>
                <c:pt idx="21">
                  <c:v>-1.0637557061272673E-2</c:v>
                </c:pt>
                <c:pt idx="22">
                  <c:v>-1.2841409341490362E-2</c:v>
                </c:pt>
                <c:pt idx="24">
                  <c:v>-1.0384519206127152E-2</c:v>
                </c:pt>
                <c:pt idx="25">
                  <c:v>-1.0688624228350818E-2</c:v>
                </c:pt>
                <c:pt idx="26">
                  <c:v>-1.4951467528590001E-2</c:v>
                </c:pt>
                <c:pt idx="27">
                  <c:v>-1.3691465530428104E-2</c:v>
                </c:pt>
                <c:pt idx="28">
                  <c:v>-8.8248468746314757E-3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B-456E-ADF6-12F1A3CFD0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  <c:pt idx="28">
                  <c:v>9342.5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3B-456E-ADF6-12F1A3CFD0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  <c:pt idx="28">
                  <c:v>9342.5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B-456E-ADF6-12F1A3CFD0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  <c:pt idx="28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  <c:pt idx="28">
                  <c:v>9342.5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3B-456E-ADF6-12F1A3CFD0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  <c:pt idx="28">
                  <c:v>9342.5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6.4045128310880346E-3</c:v>
                </c:pt>
                <c:pt idx="1">
                  <c:v>6.333488969912298E-3</c:v>
                </c:pt>
                <c:pt idx="2">
                  <c:v>6.2726113746188108E-3</c:v>
                </c:pt>
                <c:pt idx="3">
                  <c:v>4.1302998069098996E-3</c:v>
                </c:pt>
                <c:pt idx="4">
                  <c:v>4.1237772074141695E-3</c:v>
                </c:pt>
                <c:pt idx="5">
                  <c:v>3.8338838964928007E-3</c:v>
                </c:pt>
                <c:pt idx="6">
                  <c:v>-1.6566954123579142E-3</c:v>
                </c:pt>
                <c:pt idx="7">
                  <c:v>-1.8204851330284873E-3</c:v>
                </c:pt>
                <c:pt idx="8">
                  <c:v>-1.8204851330284873E-3</c:v>
                </c:pt>
                <c:pt idx="9">
                  <c:v>-2.9184560481431698E-3</c:v>
                </c:pt>
                <c:pt idx="10">
                  <c:v>-3.7801639148569367E-3</c:v>
                </c:pt>
                <c:pt idx="11">
                  <c:v>-4.4070581997243952E-3</c:v>
                </c:pt>
                <c:pt idx="12">
                  <c:v>-4.8078357020731877E-3</c:v>
                </c:pt>
                <c:pt idx="13">
                  <c:v>-4.8324766335015035E-3</c:v>
                </c:pt>
                <c:pt idx="14">
                  <c:v>-5.5514120445864972E-3</c:v>
                </c:pt>
                <c:pt idx="15">
                  <c:v>-5.5890981750062749E-3</c:v>
                </c:pt>
                <c:pt idx="16">
                  <c:v>-6.4044231119726232E-3</c:v>
                </c:pt>
                <c:pt idx="17">
                  <c:v>-6.4776211729802684E-3</c:v>
                </c:pt>
                <c:pt idx="18">
                  <c:v>-7.4886240948185403E-3</c:v>
                </c:pt>
                <c:pt idx="19">
                  <c:v>-8.0466687183421738E-3</c:v>
                </c:pt>
                <c:pt idx="20">
                  <c:v>-8.8728646544680746E-3</c:v>
                </c:pt>
                <c:pt idx="21">
                  <c:v>-8.8743141210226809E-3</c:v>
                </c:pt>
                <c:pt idx="22">
                  <c:v>-9.8874912426928623E-3</c:v>
                </c:pt>
                <c:pt idx="23">
                  <c:v>-1.0141872623026363E-2</c:v>
                </c:pt>
                <c:pt idx="24">
                  <c:v>-1.069411938033157E-2</c:v>
                </c:pt>
                <c:pt idx="25">
                  <c:v>-1.1465235587382409E-2</c:v>
                </c:pt>
                <c:pt idx="26">
                  <c:v>-1.241246198081798E-2</c:v>
                </c:pt>
                <c:pt idx="27">
                  <c:v>-1.3446656367529963E-2</c:v>
                </c:pt>
                <c:pt idx="28">
                  <c:v>-1.5197611965495026E-2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3B-456E-ADF6-12F1A3CFD0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  <c:pt idx="28">
                  <c:v>9342.5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23">
                  <c:v>-8.2958688290091231E-4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3B-456E-ADF6-12F1A3CF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29776"/>
        <c:axId val="1"/>
      </c:scatterChart>
      <c:valAx>
        <c:axId val="79422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2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V2364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2.0999999978812411E-3</c:v>
                </c:pt>
                <c:pt idx="2">
                  <c:v>4.8999999999068677E-3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3-4E6B-97CB-DF5C45DBA27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3">
                  <c:v>5.8799999998882413E-2</c:v>
                </c:pt>
                <c:pt idx="4">
                  <c:v>6.0780000007071067E-2</c:v>
                </c:pt>
                <c:pt idx="5">
                  <c:v>6.6849999995611142E-2</c:v>
                </c:pt>
                <c:pt idx="6">
                  <c:v>0.20225000000209548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3-4E6B-97CB-DF5C45DBA27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3-4E6B-97CB-DF5C45DBA27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83-4E6B-97CB-DF5C45DBA27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83-4E6B-97CB-DF5C45DBA27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83-4E6B-97CB-DF5C45DBA27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83-4E6B-97CB-DF5C45DBA27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1.4877617817647959E-3</c:v>
                </c:pt>
                <c:pt idx="1">
                  <c:v>3.2657714553155975E-3</c:v>
                </c:pt>
                <c:pt idx="2">
                  <c:v>4.7897797469305704E-3</c:v>
                </c:pt>
                <c:pt idx="3">
                  <c:v>5.8420357247095572E-2</c:v>
                </c:pt>
                <c:pt idx="4">
                  <c:v>5.8583643849768607E-2</c:v>
                </c:pt>
                <c:pt idx="5">
                  <c:v>6.584082619079229E-2</c:v>
                </c:pt>
                <c:pt idx="6">
                  <c:v>0.20329185972978081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83-4E6B-97CB-DF5C45DB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31088"/>
        <c:axId val="1"/>
      </c:scatterChart>
      <c:valAx>
        <c:axId val="7942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3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24572695779749"/>
          <c:y val="0.9204921861831491"/>
          <c:w val="0.94022684967287007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6026559-62A4-F014-3030-D2EA29F0B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15</xdr:col>
      <xdr:colOff>228600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E778E3-01BA-46EC-FC8E-E1B08208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12" TargetMode="External"/><Relationship Id="rId6" Type="http://schemas.openxmlformats.org/officeDocument/2006/relationships/hyperlink" Target="http://vsolj.cetus-net.org/vsoljno55.pdf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25" TargetMode="External"/><Relationship Id="rId9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6"/>
  <sheetViews>
    <sheetView tabSelected="1" workbookViewId="0">
      <pane xSplit="13" ySplit="21" topLeftCell="N46" activePane="bottomRight" state="frozen"/>
      <selection pane="topRight" activeCell="N1" sqref="N1"/>
      <selection pane="bottomLeft" activeCell="A22" sqref="A22"/>
      <selection pane="bottomRight" activeCell="F11" sqref="F10:F11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4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0" t="s">
        <v>38</v>
      </c>
    </row>
    <row r="2" spans="1:6" x14ac:dyDescent="0.2">
      <c r="A2" t="s">
        <v>25</v>
      </c>
      <c r="B2" t="s">
        <v>36</v>
      </c>
      <c r="C2" s="2"/>
      <c r="D2" s="2"/>
    </row>
    <row r="3" spans="1:6" ht="13.5" thickBot="1" x14ac:dyDescent="0.25"/>
    <row r="4" spans="1:6" ht="14.25" thickTop="1" thickBot="1" x14ac:dyDescent="0.25">
      <c r="A4" s="4" t="s">
        <v>2</v>
      </c>
      <c r="C4" s="7" t="s">
        <v>31</v>
      </c>
      <c r="D4" s="8" t="s">
        <v>31</v>
      </c>
    </row>
    <row r="5" spans="1:6" ht="13.5" thickTop="1" x14ac:dyDescent="0.2">
      <c r="A5" s="18" t="s">
        <v>39</v>
      </c>
      <c r="B5" s="19"/>
      <c r="C5" s="20">
        <v>-9.5</v>
      </c>
      <c r="D5" s="19" t="s">
        <v>40</v>
      </c>
    </row>
    <row r="6" spans="1:6" x14ac:dyDescent="0.2">
      <c r="A6" s="4" t="s">
        <v>3</v>
      </c>
    </row>
    <row r="7" spans="1:6" x14ac:dyDescent="0.2">
      <c r="A7" t="s">
        <v>4</v>
      </c>
      <c r="C7" s="17">
        <v>54550.70837371677</v>
      </c>
    </row>
    <row r="8" spans="1:6" x14ac:dyDescent="0.2">
      <c r="A8" t="s">
        <v>5</v>
      </c>
      <c r="C8" s="37">
        <v>0.59213628591170508</v>
      </c>
    </row>
    <row r="9" spans="1:6" x14ac:dyDescent="0.2">
      <c r="A9" s="44" t="s">
        <v>47</v>
      </c>
      <c r="B9" s="45">
        <v>27</v>
      </c>
      <c r="C9" s="43" t="str">
        <f>"F"&amp;B9</f>
        <v>F27</v>
      </c>
      <c r="D9" s="35" t="str">
        <f>"G"&amp;B9</f>
        <v>G27</v>
      </c>
    </row>
    <row r="10" spans="1:6" ht="13.5" thickBot="1" x14ac:dyDescent="0.25">
      <c r="A10" s="19"/>
      <c r="B10" s="19"/>
      <c r="C10" s="3" t="s">
        <v>21</v>
      </c>
      <c r="D10" s="3" t="s">
        <v>22</v>
      </c>
      <c r="E10" s="19"/>
    </row>
    <row r="11" spans="1:6" x14ac:dyDescent="0.2">
      <c r="A11" s="19" t="s">
        <v>17</v>
      </c>
      <c r="B11" s="19"/>
      <c r="C11" s="42">
        <f ca="1">INTERCEPT(INDIRECT($D$9):G988,INDIRECT($C$9):F988)</f>
        <v>-1.6559706790806109E-3</v>
      </c>
      <c r="D11" s="2"/>
      <c r="E11" s="19"/>
    </row>
    <row r="12" spans="1:6" x14ac:dyDescent="0.2">
      <c r="A12" s="19" t="s">
        <v>18</v>
      </c>
      <c r="B12" s="19"/>
      <c r="C12" s="42">
        <f ca="1">SLOPE(INDIRECT($D$9):G988,INDIRECT($C$9):F988)</f>
        <v>-1.4494665546068414E-6</v>
      </c>
      <c r="D12" s="2"/>
      <c r="E12" s="19"/>
    </row>
    <row r="13" spans="1:6" x14ac:dyDescent="0.2">
      <c r="A13" s="19" t="s">
        <v>20</v>
      </c>
      <c r="B13" s="19"/>
      <c r="C13" s="2" t="s">
        <v>15</v>
      </c>
    </row>
    <row r="14" spans="1:6" x14ac:dyDescent="0.2">
      <c r="A14" s="19"/>
      <c r="B14" s="19"/>
      <c r="C14" s="19"/>
    </row>
    <row r="15" spans="1:6" x14ac:dyDescent="0.2">
      <c r="A15" s="21" t="s">
        <v>19</v>
      </c>
      <c r="B15" s="19"/>
      <c r="C15" s="22">
        <f ca="1">(C7+C11)+(C8+C12)*INT(MAX(F21:F3529))</f>
        <v>60082.430359816688</v>
      </c>
      <c r="E15" s="23" t="s">
        <v>49</v>
      </c>
      <c r="F15" s="20">
        <v>1</v>
      </c>
    </row>
    <row r="16" spans="1:6" x14ac:dyDescent="0.2">
      <c r="A16" s="25" t="s">
        <v>6</v>
      </c>
      <c r="B16" s="19"/>
      <c r="C16" s="26">
        <f ca="1">+C8+C12</f>
        <v>0.59213483644515053</v>
      </c>
      <c r="E16" s="23" t="s">
        <v>41</v>
      </c>
      <c r="F16" s="24">
        <f ca="1">NOW()+15018.5+$C$5/24</f>
        <v>60307.831145138887</v>
      </c>
    </row>
    <row r="17" spans="1:21" ht="13.5" thickBot="1" x14ac:dyDescent="0.25">
      <c r="A17" s="23" t="s">
        <v>32</v>
      </c>
      <c r="B17" s="19"/>
      <c r="C17" s="19">
        <f>COUNT(C21:C2187)</f>
        <v>29</v>
      </c>
      <c r="E17" s="23" t="s">
        <v>50</v>
      </c>
      <c r="F17" s="24">
        <f ca="1">ROUND(2*(F16-$C$7)/$C$8,0)/2+F15</f>
        <v>9723.5</v>
      </c>
    </row>
    <row r="18" spans="1:21" ht="14.25" thickTop="1" thickBot="1" x14ac:dyDescent="0.25">
      <c r="A18" s="25" t="s">
        <v>7</v>
      </c>
      <c r="B18" s="19"/>
      <c r="C18" s="28">
        <f ca="1">+C15</f>
        <v>60082.430359816688</v>
      </c>
      <c r="D18" s="29">
        <f ca="1">+C16</f>
        <v>0.59213483644515053</v>
      </c>
      <c r="E18" s="23" t="s">
        <v>42</v>
      </c>
      <c r="F18" s="35">
        <f ca="1">ROUND(2*(F16-$C$15)/$C$16,0)/2+F15</f>
        <v>381.5</v>
      </c>
    </row>
    <row r="19" spans="1:21" ht="13.5" thickTop="1" x14ac:dyDescent="0.2">
      <c r="E19" s="23" t="s">
        <v>43</v>
      </c>
      <c r="F19" s="27">
        <f ca="1">+$C$15+$C$16*F18-15018.5-$C$5/24</f>
        <v>45290.225633253845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66</v>
      </c>
      <c r="I20" s="6" t="s">
        <v>69</v>
      </c>
      <c r="J20" s="6" t="s">
        <v>63</v>
      </c>
      <c r="K20" s="6" t="s">
        <v>61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  <c r="U20" s="86" t="s">
        <v>135</v>
      </c>
    </row>
    <row r="21" spans="1:21" x14ac:dyDescent="0.2">
      <c r="A21" s="11" t="s">
        <v>33</v>
      </c>
      <c r="B21" s="38" t="s">
        <v>34</v>
      </c>
      <c r="C21" s="39">
        <v>51257.837</v>
      </c>
      <c r="D21" s="39" t="s">
        <v>15</v>
      </c>
      <c r="E21">
        <f t="shared" ref="E21:E48" si="0">+(C21-C$7)/C$8</f>
        <v>-5561.0025125326965</v>
      </c>
      <c r="F21">
        <f t="shared" ref="F21:F49" si="1">ROUND(2*E21,0)/2</f>
        <v>-5561</v>
      </c>
      <c r="G21">
        <f t="shared" ref="G21:G43" si="2">+C21-(C$7+F21*C$8)</f>
        <v>-1.4877617795718834E-3</v>
      </c>
      <c r="H21">
        <f>+G21</f>
        <v>-1.4877617795718834E-3</v>
      </c>
      <c r="O21">
        <f t="shared" ref="O21:O48" ca="1" si="3">+C$11+C$12*$F21</f>
        <v>6.4045128310880346E-3</v>
      </c>
      <c r="Q21" s="1">
        <f t="shared" ref="Q21:Q48" si="4">+C21-15018.5</f>
        <v>36239.337</v>
      </c>
    </row>
    <row r="22" spans="1:21" x14ac:dyDescent="0.2">
      <c r="A22" s="12" t="s">
        <v>33</v>
      </c>
      <c r="B22" s="40" t="s">
        <v>34</v>
      </c>
      <c r="C22" s="41">
        <v>51286.851999999999</v>
      </c>
      <c r="D22" s="41" t="s">
        <v>15</v>
      </c>
      <c r="E22">
        <f t="shared" si="0"/>
        <v>-5512.0019687553031</v>
      </c>
      <c r="F22">
        <f t="shared" si="1"/>
        <v>-5512</v>
      </c>
      <c r="G22">
        <f t="shared" si="2"/>
        <v>-1.1657714494504035E-3</v>
      </c>
      <c r="H22">
        <f>+G22</f>
        <v>-1.1657714494504035E-3</v>
      </c>
      <c r="O22">
        <f t="shared" ca="1" si="3"/>
        <v>6.333488969912298E-3</v>
      </c>
      <c r="Q22" s="1">
        <f t="shared" si="4"/>
        <v>36268.351999999999</v>
      </c>
    </row>
    <row r="23" spans="1:21" x14ac:dyDescent="0.2">
      <c r="A23" s="12" t="s">
        <v>33</v>
      </c>
      <c r="B23" s="40" t="s">
        <v>34</v>
      </c>
      <c r="C23" s="41">
        <v>51311.722999999998</v>
      </c>
      <c r="D23" s="41" t="s">
        <v>15</v>
      </c>
      <c r="E23">
        <f t="shared" si="0"/>
        <v>-5469.9998138599894</v>
      </c>
      <c r="F23">
        <f t="shared" si="1"/>
        <v>-5470</v>
      </c>
      <c r="G23">
        <f t="shared" si="2"/>
        <v>1.1022025137208402E-4</v>
      </c>
      <c r="H23">
        <f>+G23</f>
        <v>1.1022025137208402E-4</v>
      </c>
      <c r="O23">
        <f t="shared" ca="1" si="3"/>
        <v>6.2726113746188108E-3</v>
      </c>
      <c r="Q23" s="1">
        <f t="shared" si="4"/>
        <v>36293.222999999998</v>
      </c>
    </row>
    <row r="24" spans="1:21" x14ac:dyDescent="0.2">
      <c r="A24" s="12" t="s">
        <v>37</v>
      </c>
      <c r="B24" s="16" t="s">
        <v>34</v>
      </c>
      <c r="C24" s="33">
        <v>52186.900699999998</v>
      </c>
      <c r="D24" s="41">
        <v>2.0000000000000001E-4</v>
      </c>
      <c r="E24">
        <f t="shared" si="0"/>
        <v>-3991.9993588591619</v>
      </c>
      <c r="F24">
        <f t="shared" si="1"/>
        <v>-3992</v>
      </c>
      <c r="G24">
        <f t="shared" si="2"/>
        <v>3.7964275543345138E-4</v>
      </c>
      <c r="K24">
        <f t="shared" ref="K24:K30" si="5">+G24</f>
        <v>3.7964275543345138E-4</v>
      </c>
      <c r="O24">
        <f t="shared" ca="1" si="3"/>
        <v>4.1302998069098996E-3</v>
      </c>
      <c r="Q24" s="1">
        <f t="shared" si="4"/>
        <v>37168.400699999998</v>
      </c>
    </row>
    <row r="25" spans="1:21" x14ac:dyDescent="0.2">
      <c r="A25" s="46" t="s">
        <v>37</v>
      </c>
      <c r="B25" s="47" t="s">
        <v>35</v>
      </c>
      <c r="C25" s="48">
        <v>52189.567130000003</v>
      </c>
      <c r="D25" s="49">
        <v>1E-4</v>
      </c>
      <c r="E25">
        <f t="shared" si="0"/>
        <v>-3987.4962907928311</v>
      </c>
      <c r="F25">
        <f t="shared" si="1"/>
        <v>-3987.5</v>
      </c>
      <c r="G25">
        <f t="shared" si="2"/>
        <v>2.1963561594020575E-3</v>
      </c>
      <c r="K25">
        <f t="shared" si="5"/>
        <v>2.1963561594020575E-3</v>
      </c>
      <c r="O25">
        <f t="shared" ca="1" si="3"/>
        <v>4.1237772074141695E-3</v>
      </c>
      <c r="Q25" s="1">
        <f t="shared" si="4"/>
        <v>37171.067130000003</v>
      </c>
    </row>
    <row r="26" spans="1:21" x14ac:dyDescent="0.2">
      <c r="A26" s="46" t="s">
        <v>37</v>
      </c>
      <c r="B26" s="47" t="s">
        <v>35</v>
      </c>
      <c r="C26" s="48">
        <v>52307.993199999997</v>
      </c>
      <c r="D26" s="49"/>
      <c r="E26">
        <f t="shared" si="0"/>
        <v>-3787.4982957068605</v>
      </c>
      <c r="F26">
        <f t="shared" si="1"/>
        <v>-3787.5</v>
      </c>
      <c r="G26">
        <f t="shared" si="2"/>
        <v>1.0091738076880574E-3</v>
      </c>
      <c r="K26">
        <f t="shared" si="5"/>
        <v>1.0091738076880574E-3</v>
      </c>
      <c r="O26">
        <f t="shared" ca="1" si="3"/>
        <v>3.8338838964928007E-3</v>
      </c>
      <c r="Q26" s="1">
        <f t="shared" si="4"/>
        <v>37289.493199999997</v>
      </c>
    </row>
    <row r="27" spans="1:21" x14ac:dyDescent="0.2">
      <c r="A27" s="25" t="s">
        <v>48</v>
      </c>
      <c r="B27" s="2"/>
      <c r="C27" s="9">
        <v>54551.003400000001</v>
      </c>
      <c r="D27" s="9">
        <v>2.9999999999999997E-4</v>
      </c>
      <c r="E27">
        <f t="shared" si="0"/>
        <v>0.49824050687374005</v>
      </c>
      <c r="F27">
        <f t="shared" si="1"/>
        <v>0.5</v>
      </c>
      <c r="G27">
        <f t="shared" si="2"/>
        <v>-1.0418597230454907E-3</v>
      </c>
      <c r="K27">
        <f t="shared" si="5"/>
        <v>-1.0418597230454907E-3</v>
      </c>
      <c r="O27">
        <f t="shared" ca="1" si="3"/>
        <v>-1.6566954123579142E-3</v>
      </c>
      <c r="Q27" s="1">
        <f t="shared" si="4"/>
        <v>39532.503400000001</v>
      </c>
    </row>
    <row r="28" spans="1:21" x14ac:dyDescent="0.2">
      <c r="A28" s="50" t="s">
        <v>48</v>
      </c>
      <c r="B28" s="51"/>
      <c r="C28" s="52">
        <v>54617.914499999999</v>
      </c>
      <c r="D28" s="52">
        <v>2.9999999999999997E-4</v>
      </c>
      <c r="E28">
        <f t="shared" si="0"/>
        <v>113.49773334655899</v>
      </c>
      <c r="F28">
        <f t="shared" si="1"/>
        <v>113.5</v>
      </c>
      <c r="G28">
        <f t="shared" si="2"/>
        <v>-1.3421677504084073E-3</v>
      </c>
      <c r="K28">
        <f t="shared" si="5"/>
        <v>-1.3421677504084073E-3</v>
      </c>
      <c r="O28">
        <f t="shared" ca="1" si="3"/>
        <v>-1.8204851330284873E-3</v>
      </c>
      <c r="Q28" s="1">
        <f t="shared" si="4"/>
        <v>39599.414499999999</v>
      </c>
    </row>
    <row r="29" spans="1:21" x14ac:dyDescent="0.2">
      <c r="A29" s="53" t="s">
        <v>48</v>
      </c>
      <c r="B29" s="54" t="s">
        <v>35</v>
      </c>
      <c r="C29" s="53">
        <v>54617.914499999999</v>
      </c>
      <c r="D29" s="53">
        <v>2.9999999999999997E-4</v>
      </c>
      <c r="E29">
        <f t="shared" si="0"/>
        <v>113.49773334655899</v>
      </c>
      <c r="F29">
        <f t="shared" si="1"/>
        <v>113.5</v>
      </c>
      <c r="G29">
        <f t="shared" si="2"/>
        <v>-1.3421677504084073E-3</v>
      </c>
      <c r="K29">
        <f t="shared" si="5"/>
        <v>-1.3421677504084073E-3</v>
      </c>
      <c r="O29">
        <f t="shared" ca="1" si="3"/>
        <v>-1.8204851330284873E-3</v>
      </c>
      <c r="Q29" s="1">
        <f t="shared" si="4"/>
        <v>39599.414499999999</v>
      </c>
    </row>
    <row r="30" spans="1:21" x14ac:dyDescent="0.2">
      <c r="A30" s="72" t="s">
        <v>76</v>
      </c>
      <c r="B30" s="73" t="s">
        <v>34</v>
      </c>
      <c r="C30" s="74">
        <v>55066.456100000003</v>
      </c>
      <c r="D30" s="74" t="s">
        <v>69</v>
      </c>
      <c r="E30">
        <f t="shared" si="0"/>
        <v>870.9949694927783</v>
      </c>
      <c r="F30">
        <f t="shared" si="1"/>
        <v>871</v>
      </c>
      <c r="G30">
        <f t="shared" si="2"/>
        <v>-2.9787458624923602E-3</v>
      </c>
      <c r="K30">
        <f t="shared" si="5"/>
        <v>-2.9787458624923602E-3</v>
      </c>
      <c r="O30">
        <f t="shared" ca="1" si="3"/>
        <v>-2.9184560481431698E-3</v>
      </c>
      <c r="Q30" s="1">
        <f t="shared" si="4"/>
        <v>40047.956100000003</v>
      </c>
    </row>
    <row r="31" spans="1:21" x14ac:dyDescent="0.2">
      <c r="A31" s="55" t="s">
        <v>54</v>
      </c>
      <c r="B31" s="55"/>
      <c r="C31" s="52">
        <v>55418.481599999999</v>
      </c>
      <c r="D31" s="52">
        <v>4.4000000000000003E-3</v>
      </c>
      <c r="E31">
        <f t="shared" si="0"/>
        <v>1465.4957767824155</v>
      </c>
      <c r="F31">
        <f t="shared" si="1"/>
        <v>1465.5</v>
      </c>
      <c r="G31">
        <f t="shared" si="2"/>
        <v>-2.5007203730638139E-3</v>
      </c>
      <c r="J31">
        <f>+G31</f>
        <v>-2.5007203730638139E-3</v>
      </c>
      <c r="O31">
        <f t="shared" ca="1" si="3"/>
        <v>-3.7801639148569367E-3</v>
      </c>
      <c r="Q31" s="1">
        <f t="shared" si="4"/>
        <v>40399.981599999999</v>
      </c>
    </row>
    <row r="32" spans="1:21" x14ac:dyDescent="0.2">
      <c r="A32" s="53" t="s">
        <v>51</v>
      </c>
      <c r="B32" s="54" t="s">
        <v>34</v>
      </c>
      <c r="C32" s="53">
        <v>55674.576699999998</v>
      </c>
      <c r="D32" s="53">
        <v>2.3999999999999998E-3</v>
      </c>
      <c r="E32">
        <f t="shared" si="0"/>
        <v>1897.9892856132283</v>
      </c>
      <c r="F32">
        <f t="shared" si="1"/>
        <v>1898</v>
      </c>
      <c r="G32">
        <f t="shared" si="2"/>
        <v>-6.3443771869060583E-3</v>
      </c>
      <c r="J32">
        <f>+G32</f>
        <v>-6.3443771869060583E-3</v>
      </c>
      <c r="O32">
        <f t="shared" ca="1" si="3"/>
        <v>-4.4070581997243952E-3</v>
      </c>
      <c r="Q32" s="1">
        <f t="shared" si="4"/>
        <v>40656.076699999998</v>
      </c>
    </row>
    <row r="33" spans="1:21" x14ac:dyDescent="0.2">
      <c r="A33" s="72" t="s">
        <v>92</v>
      </c>
      <c r="B33" s="73" t="s">
        <v>35</v>
      </c>
      <c r="C33" s="74">
        <v>55838.304300000003</v>
      </c>
      <c r="D33" s="74" t="s">
        <v>69</v>
      </c>
      <c r="E33">
        <f t="shared" si="0"/>
        <v>2174.4925229514301</v>
      </c>
      <c r="F33">
        <f t="shared" si="1"/>
        <v>2174.5</v>
      </c>
      <c r="G33">
        <f t="shared" si="2"/>
        <v>-4.4274317697272636E-3</v>
      </c>
      <c r="K33">
        <f>+G33</f>
        <v>-4.4274317697272636E-3</v>
      </c>
      <c r="O33">
        <f t="shared" ca="1" si="3"/>
        <v>-4.8078357020731877E-3</v>
      </c>
      <c r="Q33" s="1">
        <f t="shared" si="4"/>
        <v>40819.804300000003</v>
      </c>
    </row>
    <row r="34" spans="1:21" x14ac:dyDescent="0.2">
      <c r="A34" s="72" t="s">
        <v>92</v>
      </c>
      <c r="B34" s="73" t="s">
        <v>35</v>
      </c>
      <c r="C34" s="74">
        <v>55848.370799999997</v>
      </c>
      <c r="D34" s="74" t="s">
        <v>69</v>
      </c>
      <c r="E34">
        <f t="shared" si="0"/>
        <v>2191.4928322374831</v>
      </c>
      <c r="F34">
        <f t="shared" si="1"/>
        <v>2191.5</v>
      </c>
      <c r="G34">
        <f t="shared" si="2"/>
        <v>-4.2442922785994597E-3</v>
      </c>
      <c r="K34">
        <f>+G34</f>
        <v>-4.2442922785994597E-3</v>
      </c>
      <c r="O34">
        <f t="shared" ca="1" si="3"/>
        <v>-4.8324766335015035E-3</v>
      </c>
      <c r="Q34" s="1">
        <f t="shared" si="4"/>
        <v>40829.870799999997</v>
      </c>
    </row>
    <row r="35" spans="1:21" x14ac:dyDescent="0.2">
      <c r="A35" s="72" t="s">
        <v>102</v>
      </c>
      <c r="B35" s="73" t="s">
        <v>35</v>
      </c>
      <c r="C35" s="74">
        <v>56142.0717</v>
      </c>
      <c r="D35" s="74" t="s">
        <v>69</v>
      </c>
      <c r="E35">
        <f t="shared" si="0"/>
        <v>2687.4950313727641</v>
      </c>
      <c r="F35">
        <f t="shared" si="1"/>
        <v>2687.5</v>
      </c>
      <c r="G35">
        <f t="shared" si="2"/>
        <v>-2.9421044746413827E-3</v>
      </c>
      <c r="K35">
        <f>+G35</f>
        <v>-2.9421044746413827E-3</v>
      </c>
      <c r="O35">
        <f t="shared" ca="1" si="3"/>
        <v>-5.5514120445864972E-3</v>
      </c>
      <c r="Q35" s="1">
        <f t="shared" si="4"/>
        <v>41123.5717</v>
      </c>
    </row>
    <row r="36" spans="1:21" x14ac:dyDescent="0.2">
      <c r="A36" s="55" t="s">
        <v>52</v>
      </c>
      <c r="B36" s="51" t="s">
        <v>35</v>
      </c>
      <c r="C36" s="52">
        <v>56157.470200000003</v>
      </c>
      <c r="D36" s="52">
        <v>5.7000000000000002E-3</v>
      </c>
      <c r="E36">
        <f t="shared" si="0"/>
        <v>2713.5000244231296</v>
      </c>
      <c r="F36">
        <f t="shared" si="1"/>
        <v>2713.5</v>
      </c>
      <c r="G36">
        <f t="shared" si="2"/>
        <v>1.4461824321188033E-5</v>
      </c>
      <c r="J36">
        <f>+G36</f>
        <v>1.4461824321188033E-5</v>
      </c>
      <c r="O36">
        <f t="shared" ca="1" si="3"/>
        <v>-5.5890981750062749E-3</v>
      </c>
      <c r="Q36" s="1">
        <f t="shared" si="4"/>
        <v>41138.970200000003</v>
      </c>
    </row>
    <row r="37" spans="1:21" x14ac:dyDescent="0.2">
      <c r="A37" s="52" t="s">
        <v>53</v>
      </c>
      <c r="B37" s="51" t="s">
        <v>34</v>
      </c>
      <c r="C37" s="52">
        <v>56490.538099999998</v>
      </c>
      <c r="D37" s="52">
        <v>4.3E-3</v>
      </c>
      <c r="E37">
        <f t="shared" si="0"/>
        <v>3275.9852291377401</v>
      </c>
      <c r="F37">
        <f t="shared" si="1"/>
        <v>3276</v>
      </c>
      <c r="G37">
        <f t="shared" si="2"/>
        <v>-8.7463635209132917E-3</v>
      </c>
      <c r="J37">
        <f>+G37</f>
        <v>-8.7463635209132917E-3</v>
      </c>
      <c r="O37">
        <f t="shared" ca="1" si="3"/>
        <v>-6.4044231119726232E-3</v>
      </c>
      <c r="Q37" s="1">
        <f t="shared" si="4"/>
        <v>41472.038099999998</v>
      </c>
    </row>
    <row r="38" spans="1:21" x14ac:dyDescent="0.2">
      <c r="A38" s="52" t="s">
        <v>56</v>
      </c>
      <c r="B38" s="51"/>
      <c r="C38" s="52">
        <v>56520.443480000002</v>
      </c>
      <c r="D38" s="52" t="s">
        <v>57</v>
      </c>
      <c r="E38">
        <f t="shared" si="0"/>
        <v>3326.4894470205518</v>
      </c>
      <c r="F38">
        <f t="shared" si="1"/>
        <v>3326.5</v>
      </c>
      <c r="G38">
        <f t="shared" si="2"/>
        <v>-6.2488020557793789E-3</v>
      </c>
      <c r="K38">
        <f>+G38</f>
        <v>-6.2488020557793789E-3</v>
      </c>
      <c r="O38">
        <f t="shared" ca="1" si="3"/>
        <v>-6.4776211729802684E-3</v>
      </c>
      <c r="Q38" s="1">
        <f t="shared" si="4"/>
        <v>41501.943480000002</v>
      </c>
    </row>
    <row r="39" spans="1:21" x14ac:dyDescent="0.2">
      <c r="A39" s="56" t="s">
        <v>55</v>
      </c>
      <c r="B39" s="51"/>
      <c r="C39" s="56">
        <v>56933.4565</v>
      </c>
      <c r="D39" s="56">
        <v>1.6000000000000001E-3</v>
      </c>
      <c r="E39">
        <f t="shared" si="0"/>
        <v>4023.9860028414596</v>
      </c>
      <c r="F39">
        <f t="shared" si="1"/>
        <v>4024</v>
      </c>
      <c r="G39">
        <f t="shared" si="2"/>
        <v>-8.2882254719152115E-3</v>
      </c>
      <c r="J39">
        <f>+G39</f>
        <v>-8.2882254719152115E-3</v>
      </c>
      <c r="O39">
        <f t="shared" ca="1" si="3"/>
        <v>-7.4886240948185403E-3</v>
      </c>
      <c r="Q39" s="1">
        <f t="shared" si="4"/>
        <v>41914.9565</v>
      </c>
    </row>
    <row r="40" spans="1:21" x14ac:dyDescent="0.2">
      <c r="A40" s="57" t="s">
        <v>58</v>
      </c>
      <c r="B40" s="58"/>
      <c r="C40" s="57">
        <v>57161.424899999998</v>
      </c>
      <c r="D40" s="57">
        <v>5.0000000000000001E-3</v>
      </c>
      <c r="E40">
        <f t="shared" si="0"/>
        <v>4408.9791292954442</v>
      </c>
      <c r="F40">
        <f t="shared" si="1"/>
        <v>4409</v>
      </c>
      <c r="G40">
        <f t="shared" si="2"/>
        <v>-1.2358301479252987E-2</v>
      </c>
      <c r="J40">
        <f>+G40</f>
        <v>-1.2358301479252987E-2</v>
      </c>
      <c r="O40">
        <f t="shared" ca="1" si="3"/>
        <v>-8.0466687183421738E-3</v>
      </c>
      <c r="Q40" s="1">
        <f t="shared" si="4"/>
        <v>42142.924899999998</v>
      </c>
    </row>
    <row r="41" spans="1:21" x14ac:dyDescent="0.2">
      <c r="A41" s="75" t="s">
        <v>1</v>
      </c>
      <c r="B41" s="76"/>
      <c r="C41" s="75">
        <v>57498.943299999999</v>
      </c>
      <c r="D41" s="75">
        <v>5.9999999999999995E-4</v>
      </c>
      <c r="E41">
        <f t="shared" si="0"/>
        <v>4978.9803402165544</v>
      </c>
      <c r="F41">
        <f t="shared" si="1"/>
        <v>4979</v>
      </c>
      <c r="G41">
        <f t="shared" si="2"/>
        <v>-1.1641271150438115E-2</v>
      </c>
      <c r="K41">
        <f>+G41</f>
        <v>-1.1641271150438115E-2</v>
      </c>
      <c r="O41">
        <f t="shared" ca="1" si="3"/>
        <v>-8.8728646544680746E-3</v>
      </c>
      <c r="Q41" s="1">
        <f t="shared" si="4"/>
        <v>42480.443299999999</v>
      </c>
    </row>
    <row r="42" spans="1:21" x14ac:dyDescent="0.2">
      <c r="A42" s="78" t="s">
        <v>130</v>
      </c>
      <c r="B42" s="79" t="s">
        <v>34</v>
      </c>
      <c r="C42" s="80">
        <v>57499.536440000003</v>
      </c>
      <c r="D42" s="80">
        <v>2.0000000000000001E-4</v>
      </c>
      <c r="E42">
        <f t="shared" si="0"/>
        <v>4979.9820352893221</v>
      </c>
      <c r="F42">
        <f t="shared" si="1"/>
        <v>4980</v>
      </c>
      <c r="G42">
        <f t="shared" si="2"/>
        <v>-1.0637557061272673E-2</v>
      </c>
      <c r="K42">
        <f>+G42</f>
        <v>-1.0637557061272673E-2</v>
      </c>
      <c r="O42">
        <f t="shared" ca="1" si="3"/>
        <v>-8.8743141210226809E-3</v>
      </c>
      <c r="Q42" s="1">
        <f t="shared" si="4"/>
        <v>42481.036440000003</v>
      </c>
    </row>
    <row r="43" spans="1:21" x14ac:dyDescent="0.2">
      <c r="A43" s="80" t="s">
        <v>0</v>
      </c>
      <c r="B43" s="82" t="s">
        <v>34</v>
      </c>
      <c r="C43" s="82">
        <v>57913.4375</v>
      </c>
      <c r="D43" s="81">
        <v>1.1000000000000001E-3</v>
      </c>
      <c r="E43">
        <f t="shared" si="0"/>
        <v>5678.9783134226882</v>
      </c>
      <c r="F43">
        <f t="shared" si="1"/>
        <v>5679</v>
      </c>
      <c r="G43">
        <f t="shared" si="2"/>
        <v>-1.2841409341490362E-2</v>
      </c>
      <c r="K43">
        <f>+G43</f>
        <v>-1.2841409341490362E-2</v>
      </c>
      <c r="O43">
        <f t="shared" ca="1" si="3"/>
        <v>-9.8874912426928623E-3</v>
      </c>
      <c r="Q43" s="1">
        <f t="shared" si="4"/>
        <v>42894.9375</v>
      </c>
    </row>
    <row r="44" spans="1:21" x14ac:dyDescent="0.2">
      <c r="A44" s="83" t="s">
        <v>134</v>
      </c>
      <c r="B44" s="84" t="s">
        <v>35</v>
      </c>
      <c r="C44" s="85">
        <v>58017.369429999962</v>
      </c>
      <c r="D44" s="85">
        <v>2.0000000000000001E-4</v>
      </c>
      <c r="E44">
        <f t="shared" si="0"/>
        <v>5854.4985989933311</v>
      </c>
      <c r="F44">
        <f t="shared" si="1"/>
        <v>5854.5</v>
      </c>
      <c r="O44">
        <f t="shared" ca="1" si="3"/>
        <v>-1.0141872623026363E-2</v>
      </c>
      <c r="Q44" s="1">
        <f t="shared" si="4"/>
        <v>42998.869429999962</v>
      </c>
      <c r="U44">
        <f>+C44-(C$7+F44*C$8)</f>
        <v>-8.2958688290091231E-4</v>
      </c>
    </row>
    <row r="45" spans="1:21" x14ac:dyDescent="0.2">
      <c r="A45" s="4" t="s">
        <v>133</v>
      </c>
      <c r="B45" s="4"/>
      <c r="C45" s="77">
        <v>58242.963799999998</v>
      </c>
      <c r="D45" s="9">
        <v>2.9999999999999997E-4</v>
      </c>
      <c r="E45">
        <f t="shared" si="0"/>
        <v>6235.4824626197433</v>
      </c>
      <c r="F45">
        <f t="shared" si="1"/>
        <v>6235.5</v>
      </c>
      <c r="G45">
        <f>+C45-(C$7+F45*C$8)</f>
        <v>-1.0384519206127152E-2</v>
      </c>
      <c r="K45">
        <f>+G45</f>
        <v>-1.0384519206127152E-2</v>
      </c>
      <c r="O45">
        <f t="shared" ca="1" si="3"/>
        <v>-1.069411938033157E-2</v>
      </c>
      <c r="Q45" s="1">
        <f t="shared" si="4"/>
        <v>43224.463799999998</v>
      </c>
    </row>
    <row r="46" spans="1:21" x14ac:dyDescent="0.2">
      <c r="A46" s="25" t="s">
        <v>132</v>
      </c>
      <c r="B46" s="4"/>
      <c r="C46" s="77">
        <v>58557.98</v>
      </c>
      <c r="D46" s="9">
        <v>6.9999999999999999E-4</v>
      </c>
      <c r="E46">
        <f t="shared" si="0"/>
        <v>6767.4819490470591</v>
      </c>
      <c r="F46">
        <f t="shared" si="1"/>
        <v>6767.5</v>
      </c>
      <c r="G46">
        <f>+C46-(C$7+F46*C$8)</f>
        <v>-1.0688624228350818E-2</v>
      </c>
      <c r="K46">
        <f>+G46</f>
        <v>-1.0688624228350818E-2</v>
      </c>
      <c r="O46">
        <f t="shared" ca="1" si="3"/>
        <v>-1.1465235587382409E-2</v>
      </c>
      <c r="Q46" s="1">
        <f t="shared" si="4"/>
        <v>43539.48</v>
      </c>
    </row>
    <row r="47" spans="1:21" x14ac:dyDescent="0.2">
      <c r="A47" s="4" t="s">
        <v>131</v>
      </c>
      <c r="C47" s="77">
        <v>58944.936800000003</v>
      </c>
      <c r="D47" s="77">
        <v>4.0000000000000002E-4</v>
      </c>
      <c r="E47">
        <f t="shared" si="0"/>
        <v>7420.9747499555651</v>
      </c>
      <c r="F47">
        <f t="shared" si="1"/>
        <v>7421</v>
      </c>
      <c r="G47">
        <f>+C47-(C$7+F47*C$8)</f>
        <v>-1.4951467528590001E-2</v>
      </c>
      <c r="K47">
        <f>+G47</f>
        <v>-1.4951467528590001E-2</v>
      </c>
      <c r="O47">
        <f t="shared" ca="1" si="3"/>
        <v>-1.241246198081798E-2</v>
      </c>
      <c r="Q47" s="1">
        <f t="shared" si="4"/>
        <v>43926.436800000003</v>
      </c>
    </row>
    <row r="48" spans="1:21" x14ac:dyDescent="0.2">
      <c r="A48" s="87" t="s">
        <v>136</v>
      </c>
      <c r="B48" s="88" t="s">
        <v>34</v>
      </c>
      <c r="C48" s="92">
        <v>59367.427300000003</v>
      </c>
      <c r="D48" s="91">
        <v>1.6000000000000001E-3</v>
      </c>
      <c r="E48">
        <f t="shared" ref="E48:E49" si="6">+(C48-C$7)/C$8</f>
        <v>8134.4768778474518</v>
      </c>
      <c r="F48">
        <f t="shared" si="1"/>
        <v>8134.5</v>
      </c>
      <c r="G48">
        <f t="shared" ref="G48:G49" si="7">+C48-(C$7+F48*C$8)</f>
        <v>-1.3691465530428104E-2</v>
      </c>
      <c r="K48">
        <f t="shared" ref="K48:K49" si="8">+G48</f>
        <v>-1.3691465530428104E-2</v>
      </c>
      <c r="O48">
        <f t="shared" ref="O48:O49" ca="1" si="9">+C$11+C$12*$F48</f>
        <v>-1.3446656367529963E-2</v>
      </c>
      <c r="Q48" s="1">
        <f t="shared" ref="Q48:Q49" si="10">+C48-15018.5</f>
        <v>44348.927300000003</v>
      </c>
    </row>
    <row r="49" spans="1:17" x14ac:dyDescent="0.2">
      <c r="A49" s="89" t="s">
        <v>137</v>
      </c>
      <c r="B49" s="90" t="s">
        <v>35</v>
      </c>
      <c r="C49" s="91">
        <v>60082.732799999998</v>
      </c>
      <c r="D49" s="91">
        <v>8.9999999999999998E-4</v>
      </c>
      <c r="E49">
        <f t="shared" si="6"/>
        <v>9342.4850965950118</v>
      </c>
      <c r="F49">
        <f t="shared" si="1"/>
        <v>9342.5</v>
      </c>
      <c r="G49">
        <f t="shared" si="7"/>
        <v>-8.8248468746314757E-3</v>
      </c>
      <c r="K49">
        <f t="shared" si="8"/>
        <v>-8.8248468746314757E-3</v>
      </c>
      <c r="O49">
        <f t="shared" ca="1" si="9"/>
        <v>-1.5197611965495026E-2</v>
      </c>
      <c r="Q49" s="1">
        <f t="shared" si="10"/>
        <v>45064.232799999998</v>
      </c>
    </row>
    <row r="50" spans="1:17" x14ac:dyDescent="0.2">
      <c r="C50" s="9"/>
      <c r="D50" s="9"/>
    </row>
    <row r="51" spans="1:17" x14ac:dyDescent="0.2">
      <c r="C51" s="9"/>
      <c r="D51" s="9"/>
    </row>
    <row r="52" spans="1:17" x14ac:dyDescent="0.2">
      <c r="C52" s="9"/>
      <c r="D52" s="9"/>
    </row>
    <row r="53" spans="1:17" x14ac:dyDescent="0.2">
      <c r="C53" s="9"/>
      <c r="D53" s="9"/>
    </row>
    <row r="54" spans="1:17" x14ac:dyDescent="0.2">
      <c r="C54" s="9"/>
      <c r="D54" s="9"/>
    </row>
    <row r="55" spans="1:17" x14ac:dyDescent="0.2">
      <c r="C55" s="9"/>
      <c r="D55" s="9"/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rotectedRanges>
    <protectedRange sqref="A46:D46" name="Range1"/>
  </protectedRanges>
  <sortState xmlns:xlrd2="http://schemas.microsoft.com/office/spreadsheetml/2017/richdata2" ref="A21:V48">
    <sortCondition ref="C21:C48"/>
  </sortState>
  <phoneticPr fontId="8" type="noConversion"/>
  <hyperlinks>
    <hyperlink ref="H861" r:id="rId1" display="http://vsolj.cetus-net.org/bulletin.html" xr:uid="{00000000-0004-0000-0000-000000000000}"/>
    <hyperlink ref="H64582" r:id="rId2" display="http://vsolj.cetus-net.org/bulletin.html" xr:uid="{00000000-0004-0000-0000-000001000000}"/>
    <hyperlink ref="H64575" r:id="rId3" display="https://www.aavso.org/ejaavso" xr:uid="{00000000-0004-0000-0000-000002000000}"/>
    <hyperlink ref="AP726" r:id="rId4" display="http://cdsbib.u-strasbg.fr/cgi-bin/cdsbib?1990RMxAA..21..381G" xr:uid="{00000000-0004-0000-0000-000003000000}"/>
    <hyperlink ref="AP730" r:id="rId5" display="http://cdsbib.u-strasbg.fr/cgi-bin/cdsbib?1990RMxAA..21..381G" xr:uid="{00000000-0004-0000-0000-000004000000}"/>
    <hyperlink ref="AP729" r:id="rId6" display="http://cdsbib.u-strasbg.fr/cgi-bin/cdsbib?1990RMxAA..21..381G" xr:uid="{00000000-0004-0000-0000-000005000000}"/>
    <hyperlink ref="AP710" r:id="rId7" display="http://cdsbib.u-strasbg.fr/cgi-bin/cdsbib?1990RMxAA..21..381G" xr:uid="{00000000-0004-0000-0000-000006000000}"/>
    <hyperlink ref="I64582" r:id="rId8" display="http://vsolj.cetus-net.org/bulletin.html" xr:uid="{00000000-0004-0000-0000-000007000000}"/>
    <hyperlink ref="AQ866" r:id="rId9" display="http://cdsbib.u-strasbg.fr/cgi-bin/cdsbib?1990RMxAA..21..381G" xr:uid="{00000000-0004-0000-0000-000008000000}"/>
    <hyperlink ref="AQ55632" r:id="rId10" display="http://cdsbib.u-strasbg.fr/cgi-bin/cdsbib?1990RMxAA..21..381G" xr:uid="{00000000-0004-0000-0000-000009000000}"/>
    <hyperlink ref="AQ867" r:id="rId11" display="http://cdsbib.u-strasbg.fr/cgi-bin/cdsbib?1990RMxAA..21..381G" xr:uid="{00000000-0004-0000-0000-00000A000000}"/>
    <hyperlink ref="H64579" r:id="rId12" display="https://www.aavso.org/ejaavso" xr:uid="{00000000-0004-0000-0000-00000B000000}"/>
    <hyperlink ref="H1752" r:id="rId13" display="http://vsolj.cetus-net.org/bulletin.html" xr:uid="{00000000-0004-0000-0000-00000C000000}"/>
    <hyperlink ref="AP2996" r:id="rId14" display="http://cdsbib.u-strasbg.fr/cgi-bin/cdsbib?1990RMxAA..21..381G" xr:uid="{00000000-0004-0000-0000-00000D000000}"/>
    <hyperlink ref="AP2999" r:id="rId15" display="http://cdsbib.u-strasbg.fr/cgi-bin/cdsbib?1990RMxAA..21..381G" xr:uid="{00000000-0004-0000-0000-00000E000000}"/>
    <hyperlink ref="AP2997" r:id="rId16" display="http://cdsbib.u-strasbg.fr/cgi-bin/cdsbib?1990RMxAA..21..381G" xr:uid="{00000000-0004-0000-0000-00000F000000}"/>
    <hyperlink ref="AP2981" r:id="rId17" display="http://cdsbib.u-strasbg.fr/cgi-bin/cdsbib?1990RMxAA..21..381G" xr:uid="{00000000-0004-0000-0000-000010000000}"/>
    <hyperlink ref="I1752" r:id="rId18" display="http://vsolj.cetus-net.org/bulletin.html" xr:uid="{00000000-0004-0000-0000-000011000000}"/>
    <hyperlink ref="AQ3210" r:id="rId19" display="http://cdsbib.u-strasbg.fr/cgi-bin/cdsbib?1990RMxAA..21..381G" xr:uid="{00000000-0004-0000-0000-000012000000}"/>
    <hyperlink ref="AQ65447" r:id="rId20" display="http://cdsbib.u-strasbg.fr/cgi-bin/cdsbib?1990RMxAA..21..381G" xr:uid="{00000000-0004-0000-0000-000013000000}"/>
    <hyperlink ref="AQ321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3"/>
  <sheetViews>
    <sheetView workbookViewId="0">
      <selection activeCell="A19" sqref="A19:D22"/>
    </sheetView>
  </sheetViews>
  <sheetFormatPr defaultRowHeight="12.75" x14ac:dyDescent="0.2"/>
  <cols>
    <col min="1" max="1" width="19.7109375" style="9" customWidth="1"/>
    <col min="2" max="2" width="4.42578125" style="19" customWidth="1"/>
    <col min="3" max="3" width="12.7109375" style="9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9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9" t="s">
        <v>59</v>
      </c>
      <c r="I1" s="60" t="s">
        <v>60</v>
      </c>
      <c r="J1" s="61" t="s">
        <v>61</v>
      </c>
    </row>
    <row r="2" spans="1:16" x14ac:dyDescent="0.2">
      <c r="I2" s="62" t="s">
        <v>62</v>
      </c>
      <c r="J2" s="63" t="s">
        <v>63</v>
      </c>
    </row>
    <row r="3" spans="1:16" x14ac:dyDescent="0.2">
      <c r="A3" s="64" t="s">
        <v>64</v>
      </c>
      <c r="I3" s="62" t="s">
        <v>65</v>
      </c>
      <c r="J3" s="63" t="s">
        <v>66</v>
      </c>
    </row>
    <row r="4" spans="1:16" x14ac:dyDescent="0.2">
      <c r="I4" s="62" t="s">
        <v>67</v>
      </c>
      <c r="J4" s="63" t="s">
        <v>66</v>
      </c>
    </row>
    <row r="5" spans="1:16" ht="13.5" thickBot="1" x14ac:dyDescent="0.25">
      <c r="I5" s="65" t="s">
        <v>68</v>
      </c>
      <c r="J5" s="66" t="s">
        <v>69</v>
      </c>
    </row>
    <row r="11" spans="1:16" ht="13.5" thickBot="1" x14ac:dyDescent="0.25"/>
    <row r="12" spans="1:16" ht="12.75" customHeight="1" thickBot="1" x14ac:dyDescent="0.25">
      <c r="A12" s="9" t="str">
        <f t="shared" ref="A12:A22" si="0">P12</f>
        <v>BAVM 241 (=IBVS 6157) </v>
      </c>
      <c r="B12" s="2" t="str">
        <f t="shared" ref="B12:B22" si="1">IF(H12=INT(H12),"I","II")</f>
        <v>I</v>
      </c>
      <c r="C12" s="9">
        <f t="shared" ref="C12:C22" si="2">1*G12</f>
        <v>57161.424899999998</v>
      </c>
      <c r="D12" s="19" t="str">
        <f t="shared" ref="D12:D22" si="3">VLOOKUP(F12,I$1:J$5,2,FALSE)</f>
        <v>vis</v>
      </c>
      <c r="E12" s="67">
        <f>VLOOKUP(C12,Active!C$21:E$971,3,FALSE)</f>
        <v>4408.9791292954442</v>
      </c>
      <c r="F12" s="2" t="s">
        <v>68</v>
      </c>
      <c r="G12" s="19" t="str">
        <f t="shared" ref="G12:G22" si="4">MID(I12,3,LEN(I12)-3)</f>
        <v>57161.4249</v>
      </c>
      <c r="H12" s="9">
        <f t="shared" ref="H12:H22" si="5">1*K12</f>
        <v>8401</v>
      </c>
      <c r="I12" s="68" t="s">
        <v>125</v>
      </c>
      <c r="J12" s="69" t="s">
        <v>126</v>
      </c>
      <c r="K12" s="68" t="s">
        <v>127</v>
      </c>
      <c r="L12" s="68" t="s">
        <v>128</v>
      </c>
      <c r="M12" s="69" t="s">
        <v>73</v>
      </c>
      <c r="N12" s="69" t="s">
        <v>74</v>
      </c>
      <c r="O12" s="70" t="s">
        <v>75</v>
      </c>
      <c r="P12" s="71" t="s">
        <v>129</v>
      </c>
    </row>
    <row r="13" spans="1:16" ht="12.75" customHeight="1" thickBot="1" x14ac:dyDescent="0.25">
      <c r="A13" s="9" t="str">
        <f t="shared" si="0"/>
        <v>BAVM 215 </v>
      </c>
      <c r="B13" s="2" t="str">
        <f t="shared" si="1"/>
        <v>II</v>
      </c>
      <c r="C13" s="9">
        <f t="shared" si="2"/>
        <v>55418.481599999999</v>
      </c>
      <c r="D13" s="19" t="str">
        <f t="shared" si="3"/>
        <v>vis</v>
      </c>
      <c r="E13" s="67">
        <f>VLOOKUP(C13,Active!C$21:E$971,3,FALSE)</f>
        <v>1465.4957767824155</v>
      </c>
      <c r="F13" s="2" t="s">
        <v>68</v>
      </c>
      <c r="G13" s="19" t="str">
        <f t="shared" si="4"/>
        <v>55418.4816</v>
      </c>
      <c r="H13" s="9">
        <f t="shared" si="5"/>
        <v>5457.5</v>
      </c>
      <c r="I13" s="68" t="s">
        <v>77</v>
      </c>
      <c r="J13" s="69" t="s">
        <v>78</v>
      </c>
      <c r="K13" s="68" t="s">
        <v>79</v>
      </c>
      <c r="L13" s="68" t="s">
        <v>80</v>
      </c>
      <c r="M13" s="69" t="s">
        <v>73</v>
      </c>
      <c r="N13" s="69" t="s">
        <v>74</v>
      </c>
      <c r="O13" s="70" t="s">
        <v>75</v>
      </c>
      <c r="P13" s="71" t="s">
        <v>81</v>
      </c>
    </row>
    <row r="14" spans="1:16" ht="12.75" customHeight="1" thickBot="1" x14ac:dyDescent="0.25">
      <c r="A14" s="9" t="str">
        <f t="shared" si="0"/>
        <v>BAVM 220 </v>
      </c>
      <c r="B14" s="2" t="str">
        <f t="shared" si="1"/>
        <v>I</v>
      </c>
      <c r="C14" s="9">
        <f t="shared" si="2"/>
        <v>55674.576699999998</v>
      </c>
      <c r="D14" s="19" t="str">
        <f t="shared" si="3"/>
        <v>vis</v>
      </c>
      <c r="E14" s="67">
        <f>VLOOKUP(C14,Active!C$21:E$971,3,FALSE)</f>
        <v>1897.9892856132283</v>
      </c>
      <c r="F14" s="2" t="s">
        <v>68</v>
      </c>
      <c r="G14" s="19" t="str">
        <f t="shared" si="4"/>
        <v>55674.5767</v>
      </c>
      <c r="H14" s="9">
        <f t="shared" si="5"/>
        <v>5890</v>
      </c>
      <c r="I14" s="68" t="s">
        <v>82</v>
      </c>
      <c r="J14" s="69" t="s">
        <v>83</v>
      </c>
      <c r="K14" s="68" t="s">
        <v>84</v>
      </c>
      <c r="L14" s="68" t="s">
        <v>85</v>
      </c>
      <c r="M14" s="69" t="s">
        <v>73</v>
      </c>
      <c r="N14" s="69" t="s">
        <v>74</v>
      </c>
      <c r="O14" s="70" t="s">
        <v>75</v>
      </c>
      <c r="P14" s="71" t="s">
        <v>86</v>
      </c>
    </row>
    <row r="15" spans="1:16" ht="12.75" customHeight="1" thickBot="1" x14ac:dyDescent="0.25">
      <c r="A15" s="9" t="str">
        <f t="shared" si="0"/>
        <v>BAVM 231 </v>
      </c>
      <c r="B15" s="2" t="str">
        <f t="shared" si="1"/>
        <v>II</v>
      </c>
      <c r="C15" s="9">
        <f t="shared" si="2"/>
        <v>56157.470200000003</v>
      </c>
      <c r="D15" s="19" t="str">
        <f t="shared" si="3"/>
        <v>vis</v>
      </c>
      <c r="E15" s="67">
        <f>VLOOKUP(C15,Active!C$21:E$971,3,FALSE)</f>
        <v>2713.5000244231296</v>
      </c>
      <c r="F15" s="2" t="s">
        <v>68</v>
      </c>
      <c r="G15" s="19" t="str">
        <f t="shared" si="4"/>
        <v>56157.4702</v>
      </c>
      <c r="H15" s="9">
        <f t="shared" si="5"/>
        <v>6705.5</v>
      </c>
      <c r="I15" s="68" t="s">
        <v>103</v>
      </c>
      <c r="J15" s="69" t="s">
        <v>104</v>
      </c>
      <c r="K15" s="68" t="s">
        <v>105</v>
      </c>
      <c r="L15" s="68" t="s">
        <v>106</v>
      </c>
      <c r="M15" s="69" t="s">
        <v>73</v>
      </c>
      <c r="N15" s="69" t="s">
        <v>74</v>
      </c>
      <c r="O15" s="70" t="s">
        <v>75</v>
      </c>
      <c r="P15" s="71" t="s">
        <v>107</v>
      </c>
    </row>
    <row r="16" spans="1:16" ht="12.75" customHeight="1" thickBot="1" x14ac:dyDescent="0.25">
      <c r="A16" s="9" t="str">
        <f t="shared" si="0"/>
        <v>BAVM 232 </v>
      </c>
      <c r="B16" s="2" t="str">
        <f t="shared" si="1"/>
        <v>I</v>
      </c>
      <c r="C16" s="9">
        <f t="shared" si="2"/>
        <v>56490.538099999998</v>
      </c>
      <c r="D16" s="19" t="str">
        <f t="shared" si="3"/>
        <v>vis</v>
      </c>
      <c r="E16" s="67">
        <f>VLOOKUP(C16,Active!C$21:E$971,3,FALSE)</f>
        <v>3275.9852291377401</v>
      </c>
      <c r="F16" s="2" t="s">
        <v>68</v>
      </c>
      <c r="G16" s="19" t="str">
        <f t="shared" si="4"/>
        <v>56490.5381</v>
      </c>
      <c r="H16" s="9">
        <f t="shared" si="5"/>
        <v>7268</v>
      </c>
      <c r="I16" s="68" t="s">
        <v>108</v>
      </c>
      <c r="J16" s="69" t="s">
        <v>109</v>
      </c>
      <c r="K16" s="68" t="s">
        <v>110</v>
      </c>
      <c r="L16" s="68" t="s">
        <v>111</v>
      </c>
      <c r="M16" s="69" t="s">
        <v>73</v>
      </c>
      <c r="N16" s="69" t="s">
        <v>74</v>
      </c>
      <c r="O16" s="70" t="s">
        <v>75</v>
      </c>
      <c r="P16" s="71" t="s">
        <v>112</v>
      </c>
    </row>
    <row r="17" spans="1:16" ht="12.75" customHeight="1" thickBot="1" x14ac:dyDescent="0.25">
      <c r="A17" s="9" t="str">
        <f t="shared" si="0"/>
        <v>OEJV 0160 </v>
      </c>
      <c r="B17" s="2" t="str">
        <f t="shared" si="1"/>
        <v>II</v>
      </c>
      <c r="C17" s="9">
        <f t="shared" si="2"/>
        <v>56520.44111</v>
      </c>
      <c r="D17" s="19" t="str">
        <f t="shared" si="3"/>
        <v>vis</v>
      </c>
      <c r="E17" s="67" t="e">
        <f>VLOOKUP(C17,Active!C$21:E$971,3,FALSE)</f>
        <v>#N/A</v>
      </c>
      <c r="F17" s="2" t="s">
        <v>68</v>
      </c>
      <c r="G17" s="19" t="str">
        <f t="shared" si="4"/>
        <v>56520.44111</v>
      </c>
      <c r="H17" s="9">
        <f t="shared" si="5"/>
        <v>7318.5</v>
      </c>
      <c r="I17" s="68" t="s">
        <v>113</v>
      </c>
      <c r="J17" s="69" t="s">
        <v>114</v>
      </c>
      <c r="K17" s="68" t="s">
        <v>115</v>
      </c>
      <c r="L17" s="68" t="s">
        <v>116</v>
      </c>
      <c r="M17" s="69" t="s">
        <v>73</v>
      </c>
      <c r="N17" s="69" t="s">
        <v>117</v>
      </c>
      <c r="O17" s="70" t="s">
        <v>118</v>
      </c>
      <c r="P17" s="71" t="s">
        <v>119</v>
      </c>
    </row>
    <row r="18" spans="1:16" ht="12.75" customHeight="1" thickBot="1" x14ac:dyDescent="0.25">
      <c r="A18" s="9" t="str">
        <f t="shared" si="0"/>
        <v>BAVM 239 </v>
      </c>
      <c r="B18" s="2" t="str">
        <f t="shared" si="1"/>
        <v>I</v>
      </c>
      <c r="C18" s="9">
        <f t="shared" si="2"/>
        <v>56933.4565</v>
      </c>
      <c r="D18" s="19" t="str">
        <f t="shared" si="3"/>
        <v>vis</v>
      </c>
      <c r="E18" s="67">
        <f>VLOOKUP(C18,Active!C$21:E$971,3,FALSE)</f>
        <v>4023.9860028414596</v>
      </c>
      <c r="F18" s="2" t="s">
        <v>68</v>
      </c>
      <c r="G18" s="19" t="str">
        <f t="shared" si="4"/>
        <v>56933.4565</v>
      </c>
      <c r="H18" s="9">
        <f t="shared" si="5"/>
        <v>8016</v>
      </c>
      <c r="I18" s="68" t="s">
        <v>120</v>
      </c>
      <c r="J18" s="69" t="s">
        <v>121</v>
      </c>
      <c r="K18" s="68" t="s">
        <v>122</v>
      </c>
      <c r="L18" s="68" t="s">
        <v>123</v>
      </c>
      <c r="M18" s="69" t="s">
        <v>73</v>
      </c>
      <c r="N18" s="69" t="s">
        <v>74</v>
      </c>
      <c r="O18" s="70" t="s">
        <v>75</v>
      </c>
      <c r="P18" s="71" t="s">
        <v>124</v>
      </c>
    </row>
    <row r="19" spans="1:16" ht="12.75" customHeight="1" thickBot="1" x14ac:dyDescent="0.25">
      <c r="A19" s="9" t="str">
        <f t="shared" si="0"/>
        <v>BAVM 225 </v>
      </c>
      <c r="B19" s="2" t="str">
        <f t="shared" si="1"/>
        <v>II</v>
      </c>
      <c r="C19" s="9">
        <f t="shared" si="2"/>
        <v>55838.304300000003</v>
      </c>
      <c r="D19" s="19" t="str">
        <f t="shared" si="3"/>
        <v>vis</v>
      </c>
      <c r="E19" s="67">
        <f>VLOOKUP(C19,Active!C$21:E$971,3,FALSE)</f>
        <v>2174.4925229514301</v>
      </c>
      <c r="F19" s="2" t="s">
        <v>68</v>
      </c>
      <c r="G19" s="19" t="str">
        <f t="shared" si="4"/>
        <v>55838.3043</v>
      </c>
      <c r="H19" s="9">
        <f t="shared" si="5"/>
        <v>6166.5</v>
      </c>
      <c r="I19" s="68" t="s">
        <v>87</v>
      </c>
      <c r="J19" s="69" t="s">
        <v>88</v>
      </c>
      <c r="K19" s="68" t="s">
        <v>89</v>
      </c>
      <c r="L19" s="68" t="s">
        <v>90</v>
      </c>
      <c r="M19" s="69" t="s">
        <v>73</v>
      </c>
      <c r="N19" s="69" t="s">
        <v>74</v>
      </c>
      <c r="O19" s="70" t="s">
        <v>91</v>
      </c>
      <c r="P19" s="71" t="s">
        <v>92</v>
      </c>
    </row>
    <row r="20" spans="1:16" ht="12.75" customHeight="1" thickBot="1" x14ac:dyDescent="0.25">
      <c r="A20" s="9" t="str">
        <f t="shared" si="0"/>
        <v>BAVM 225 </v>
      </c>
      <c r="B20" s="2" t="str">
        <f t="shared" si="1"/>
        <v>II</v>
      </c>
      <c r="C20" s="9">
        <f t="shared" si="2"/>
        <v>55848.370799999997</v>
      </c>
      <c r="D20" s="19" t="str">
        <f t="shared" si="3"/>
        <v>vis</v>
      </c>
      <c r="E20" s="67">
        <f>VLOOKUP(C20,Active!C$21:E$971,3,FALSE)</f>
        <v>2191.4928322374831</v>
      </c>
      <c r="F20" s="2" t="s">
        <v>68</v>
      </c>
      <c r="G20" s="19" t="str">
        <f t="shared" si="4"/>
        <v>55848.3708</v>
      </c>
      <c r="H20" s="9">
        <f t="shared" si="5"/>
        <v>6183.5</v>
      </c>
      <c r="I20" s="68" t="s">
        <v>93</v>
      </c>
      <c r="J20" s="69" t="s">
        <v>94</v>
      </c>
      <c r="K20" s="68" t="s">
        <v>95</v>
      </c>
      <c r="L20" s="68" t="s">
        <v>96</v>
      </c>
      <c r="M20" s="69" t="s">
        <v>73</v>
      </c>
      <c r="N20" s="69" t="s">
        <v>74</v>
      </c>
      <c r="O20" s="70" t="s">
        <v>91</v>
      </c>
      <c r="P20" s="71" t="s">
        <v>92</v>
      </c>
    </row>
    <row r="21" spans="1:16" ht="12.75" customHeight="1" thickBot="1" x14ac:dyDescent="0.25">
      <c r="A21" s="9" t="str">
        <f t="shared" si="0"/>
        <v>VSB 55 </v>
      </c>
      <c r="B21" s="2" t="str">
        <f t="shared" si="1"/>
        <v>II</v>
      </c>
      <c r="C21" s="9">
        <f t="shared" si="2"/>
        <v>56142.0717</v>
      </c>
      <c r="D21" s="19" t="str">
        <f t="shared" si="3"/>
        <v>vis</v>
      </c>
      <c r="E21" s="67">
        <f>VLOOKUP(C21,Active!C$21:E$971,3,FALSE)</f>
        <v>2687.4950313727641</v>
      </c>
      <c r="F21" s="2" t="s">
        <v>68</v>
      </c>
      <c r="G21" s="19" t="str">
        <f t="shared" si="4"/>
        <v>56142.0717</v>
      </c>
      <c r="H21" s="9">
        <f t="shared" si="5"/>
        <v>6679.5</v>
      </c>
      <c r="I21" s="68" t="s">
        <v>97</v>
      </c>
      <c r="J21" s="69" t="s">
        <v>98</v>
      </c>
      <c r="K21" s="68" t="s">
        <v>99</v>
      </c>
      <c r="L21" s="68" t="s">
        <v>100</v>
      </c>
      <c r="M21" s="69" t="s">
        <v>73</v>
      </c>
      <c r="N21" s="69" t="s">
        <v>68</v>
      </c>
      <c r="O21" s="70" t="s">
        <v>101</v>
      </c>
      <c r="P21" s="71" t="s">
        <v>102</v>
      </c>
    </row>
    <row r="22" spans="1:16" ht="12.75" customHeight="1" thickBot="1" x14ac:dyDescent="0.25">
      <c r="A22" s="9" t="str">
        <f t="shared" si="0"/>
        <v>BAVM 212 </v>
      </c>
      <c r="B22" s="2" t="str">
        <f t="shared" si="1"/>
        <v>I</v>
      </c>
      <c r="C22" s="9">
        <f t="shared" si="2"/>
        <v>55066.456100000003</v>
      </c>
      <c r="D22" s="19" t="str">
        <f t="shared" si="3"/>
        <v>vis</v>
      </c>
      <c r="E22" s="67">
        <f>VLOOKUP(C22,Active!C$21:E$971,3,FALSE)</f>
        <v>870.9949694927783</v>
      </c>
      <c r="F22" s="2" t="s">
        <v>68</v>
      </c>
      <c r="G22" s="19" t="str">
        <f t="shared" si="4"/>
        <v>55066.4561</v>
      </c>
      <c r="H22" s="9">
        <f t="shared" si="5"/>
        <v>4863</v>
      </c>
      <c r="I22" s="68" t="s">
        <v>70</v>
      </c>
      <c r="J22" s="69" t="s">
        <v>71</v>
      </c>
      <c r="K22" s="68">
        <v>4863</v>
      </c>
      <c r="L22" s="68" t="s">
        <v>72</v>
      </c>
      <c r="M22" s="69" t="s">
        <v>73</v>
      </c>
      <c r="N22" s="69" t="s">
        <v>74</v>
      </c>
      <c r="O22" s="70" t="s">
        <v>75</v>
      </c>
      <c r="P22" s="71" t="s">
        <v>76</v>
      </c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</sheetData>
  <phoneticPr fontId="8" type="noConversion"/>
  <hyperlinks>
    <hyperlink ref="P22" r:id="rId1" display="http://www.bav-astro.de/sfs/BAVM_link.php?BAVMnr=212" xr:uid="{00000000-0004-0000-0100-000000000000}"/>
    <hyperlink ref="P13" r:id="rId2" display="http://www.bav-astro.de/sfs/BAVM_link.php?BAVMnr=215" xr:uid="{00000000-0004-0000-0100-000001000000}"/>
    <hyperlink ref="P14" r:id="rId3" display="http://www.bav-astro.de/sfs/BAVM_link.php?BAVMnr=220" xr:uid="{00000000-0004-0000-0100-000002000000}"/>
    <hyperlink ref="P19" r:id="rId4" display="http://www.bav-astro.de/sfs/BAVM_link.php?BAVMnr=225" xr:uid="{00000000-0004-0000-0100-000003000000}"/>
    <hyperlink ref="P20" r:id="rId5" display="http://www.bav-astro.de/sfs/BAVM_link.php?BAVMnr=225" xr:uid="{00000000-0004-0000-0100-000004000000}"/>
    <hyperlink ref="P21" r:id="rId6" display="http://vsolj.cetus-net.org/vsoljno55.pdf" xr:uid="{00000000-0004-0000-0100-000005000000}"/>
    <hyperlink ref="P15" r:id="rId7" display="http://www.bav-astro.de/sfs/BAVM_link.php?BAVMnr=231" xr:uid="{00000000-0004-0000-0100-000006000000}"/>
    <hyperlink ref="P16" r:id="rId8" display="http://www.bav-astro.de/sfs/BAVM_link.php?BAVMnr=232" xr:uid="{00000000-0004-0000-0100-000007000000}"/>
    <hyperlink ref="P17" r:id="rId9" display="http://var.astro.cz/oejv/issues/oejv0160.pdf" xr:uid="{00000000-0004-0000-0100-000008000000}"/>
    <hyperlink ref="P18" r:id="rId10" display="http://www.bav-astro.de/sfs/BAVM_link.php?BAVMnr=239" xr:uid="{00000000-0004-0000-0100-000009000000}"/>
    <hyperlink ref="P12" r:id="rId11" display="http://www.bav-astro.de/sfs/BAVM_link.php?BAVMnr=241" xr:uid="{00000000-0004-0000-0100-00000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40"/>
  <sheetViews>
    <sheetView workbookViewId="0">
      <selection activeCell="E6" sqref="E6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0" t="s">
        <v>38</v>
      </c>
    </row>
    <row r="2" spans="1:7" x14ac:dyDescent="0.2">
      <c r="A2" t="s">
        <v>25</v>
      </c>
      <c r="B2" t="s">
        <v>36</v>
      </c>
      <c r="C2" s="2"/>
      <c r="D2" s="2"/>
    </row>
    <row r="3" spans="1:7" ht="13.5" thickBot="1" x14ac:dyDescent="0.25"/>
    <row r="4" spans="1:7" ht="14.25" thickTop="1" thickBot="1" x14ac:dyDescent="0.25">
      <c r="A4" s="4" t="s">
        <v>2</v>
      </c>
      <c r="C4" s="7" t="s">
        <v>31</v>
      </c>
      <c r="D4" s="8" t="s">
        <v>31</v>
      </c>
    </row>
    <row r="6" spans="1:7" x14ac:dyDescent="0.2">
      <c r="A6" s="4" t="s">
        <v>3</v>
      </c>
    </row>
    <row r="7" spans="1:7" x14ac:dyDescent="0.2">
      <c r="A7" t="s">
        <v>4</v>
      </c>
      <c r="C7" s="17">
        <v>51257.837</v>
      </c>
    </row>
    <row r="8" spans="1:7" x14ac:dyDescent="0.2">
      <c r="A8" t="s">
        <v>5</v>
      </c>
      <c r="C8" s="13">
        <v>0.59209999999999996</v>
      </c>
    </row>
    <row r="9" spans="1:7" x14ac:dyDescent="0.2">
      <c r="A9" s="18" t="s">
        <v>39</v>
      </c>
      <c r="B9" s="19"/>
      <c r="C9" s="20">
        <v>8</v>
      </c>
      <c r="D9" s="19" t="s">
        <v>40</v>
      </c>
      <c r="E9" s="19"/>
    </row>
    <row r="10" spans="1:7" ht="13.5" thickBot="1" x14ac:dyDescent="0.25">
      <c r="A10" s="19"/>
      <c r="B10" s="19"/>
      <c r="C10" s="3" t="s">
        <v>21</v>
      </c>
      <c r="D10" s="3" t="s">
        <v>22</v>
      </c>
      <c r="E10" s="19"/>
    </row>
    <row r="11" spans="1:7" x14ac:dyDescent="0.2">
      <c r="A11" s="19" t="s">
        <v>17</v>
      </c>
      <c r="B11" s="19"/>
      <c r="C11" s="42">
        <f ca="1">INTERCEPT(INDIRECT($G$11):G992,INDIRECT($F$11):F992)</f>
        <v>1.4877617817647959E-3</v>
      </c>
      <c r="D11" s="2"/>
      <c r="E11" s="19"/>
      <c r="F11" s="43" t="str">
        <f>"F"&amp;E19</f>
        <v>F21</v>
      </c>
      <c r="G11" s="35" t="str">
        <f>"G"&amp;E19</f>
        <v>G21</v>
      </c>
    </row>
    <row r="12" spans="1:7" x14ac:dyDescent="0.2">
      <c r="A12" s="19" t="s">
        <v>18</v>
      </c>
      <c r="B12" s="19"/>
      <c r="C12" s="42">
        <f ca="1">SLOPE(INDIRECT($G$11):G992,INDIRECT($F$11):F992)</f>
        <v>3.6285911705118406E-5</v>
      </c>
      <c r="D12" s="2"/>
      <c r="E12" s="19"/>
    </row>
    <row r="13" spans="1:7" x14ac:dyDescent="0.2">
      <c r="A13" s="19" t="s">
        <v>20</v>
      </c>
      <c r="B13" s="19"/>
      <c r="C13" s="2" t="s">
        <v>15</v>
      </c>
      <c r="D13" s="2"/>
      <c r="E13" s="19"/>
    </row>
    <row r="14" spans="1:7" x14ac:dyDescent="0.2">
      <c r="A14" s="19"/>
      <c r="B14" s="19"/>
      <c r="C14" s="19"/>
      <c r="D14" s="19"/>
      <c r="E14" s="19"/>
    </row>
    <row r="15" spans="1:7" x14ac:dyDescent="0.2">
      <c r="A15" s="21" t="s">
        <v>19</v>
      </c>
      <c r="B15" s="19"/>
      <c r="C15" s="22">
        <f ca="1">(C7+C11)+(C8+C12)*INT(MAX(F21:F3533))</f>
        <v>54550.70837371677</v>
      </c>
      <c r="D15" s="23" t="s">
        <v>41</v>
      </c>
      <c r="E15" s="24">
        <f ca="1">TODAY()+15018.5-B9/24</f>
        <v>60307.5</v>
      </c>
    </row>
    <row r="16" spans="1:7" x14ac:dyDescent="0.2">
      <c r="A16" s="25" t="s">
        <v>6</v>
      </c>
      <c r="B16" s="19"/>
      <c r="C16" s="26">
        <f ca="1">+C8+C12</f>
        <v>0.59213628591170508</v>
      </c>
      <c r="D16" s="23" t="s">
        <v>42</v>
      </c>
      <c r="E16" s="24">
        <f ca="1">ROUND(2*(E15-C15)/C16,0)/2+1</f>
        <v>9723</v>
      </c>
    </row>
    <row r="17" spans="1:17" ht="13.5" thickBot="1" x14ac:dyDescent="0.25">
      <c r="A17" s="23" t="s">
        <v>32</v>
      </c>
      <c r="B17" s="19"/>
      <c r="C17" s="19">
        <f>COUNT(C21:C2191)</f>
        <v>7</v>
      </c>
      <c r="D17" s="23" t="s">
        <v>43</v>
      </c>
      <c r="E17" s="27">
        <f ca="1">+C15+C16*E16-15018.5-C9/24</f>
        <v>45289.216148302941</v>
      </c>
    </row>
    <row r="18" spans="1:17" ht="14.25" thickTop="1" thickBot="1" x14ac:dyDescent="0.25">
      <c r="A18" s="25" t="s">
        <v>7</v>
      </c>
      <c r="B18" s="19"/>
      <c r="C18" s="28">
        <f ca="1">+C15</f>
        <v>54550.70837371677</v>
      </c>
      <c r="D18" s="29">
        <f ca="1">+C16</f>
        <v>0.59213628591170508</v>
      </c>
      <c r="E18" s="30" t="s">
        <v>44</v>
      </c>
    </row>
    <row r="19" spans="1:17" ht="13.5" thickTop="1" x14ac:dyDescent="0.2">
      <c r="A19" s="44" t="s">
        <v>47</v>
      </c>
      <c r="E19" s="45">
        <v>21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33</v>
      </c>
      <c r="I20" s="6" t="s">
        <v>30</v>
      </c>
      <c r="J20" s="6" t="s">
        <v>46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</row>
    <row r="21" spans="1:17" x14ac:dyDescent="0.2">
      <c r="A21" s="11" t="s">
        <v>33</v>
      </c>
      <c r="B21" s="14" t="s">
        <v>34</v>
      </c>
      <c r="C21" s="31">
        <v>51257.837</v>
      </c>
      <c r="D21" s="31" t="s">
        <v>15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1.4877617817647959E-3</v>
      </c>
      <c r="Q21" s="1">
        <f t="shared" ref="Q21:Q26" si="4">+C21-15018.5</f>
        <v>36239.337</v>
      </c>
    </row>
    <row r="22" spans="1:17" x14ac:dyDescent="0.2">
      <c r="A22" s="12" t="s">
        <v>33</v>
      </c>
      <c r="B22" s="15" t="s">
        <v>34</v>
      </c>
      <c r="C22" s="32">
        <v>51286.851999999999</v>
      </c>
      <c r="D22" s="32" t="s">
        <v>15</v>
      </c>
      <c r="E22">
        <f t="shared" si="0"/>
        <v>49.00354669819189</v>
      </c>
      <c r="F22">
        <f t="shared" si="1"/>
        <v>49</v>
      </c>
      <c r="G22">
        <f t="shared" si="2"/>
        <v>2.0999999978812411E-3</v>
      </c>
      <c r="H22">
        <f>+G22</f>
        <v>2.0999999978812411E-3</v>
      </c>
      <c r="O22">
        <f t="shared" ca="1" si="3"/>
        <v>3.2657714553155975E-3</v>
      </c>
      <c r="Q22" s="1">
        <f t="shared" si="4"/>
        <v>36268.351999999999</v>
      </c>
    </row>
    <row r="23" spans="1:17" x14ac:dyDescent="0.2">
      <c r="A23" s="12" t="s">
        <v>33</v>
      </c>
      <c r="B23" s="15" t="s">
        <v>34</v>
      </c>
      <c r="C23" s="32">
        <v>51311.722999999998</v>
      </c>
      <c r="D23" s="32" t="s">
        <v>15</v>
      </c>
      <c r="E23">
        <f t="shared" si="0"/>
        <v>91.008275629114351</v>
      </c>
      <c r="F23">
        <f t="shared" si="1"/>
        <v>91</v>
      </c>
      <c r="G23">
        <f t="shared" si="2"/>
        <v>4.8999999999068677E-3</v>
      </c>
      <c r="H23">
        <f>+G23</f>
        <v>4.8999999999068677E-3</v>
      </c>
      <c r="O23">
        <f t="shared" ca="1" si="3"/>
        <v>4.7897797469305704E-3</v>
      </c>
      <c r="Q23" s="1">
        <f t="shared" si="4"/>
        <v>36293.222999999998</v>
      </c>
    </row>
    <row r="24" spans="1:17" x14ac:dyDescent="0.2">
      <c r="A24" s="12" t="s">
        <v>37</v>
      </c>
      <c r="B24" s="16" t="s">
        <v>34</v>
      </c>
      <c r="C24" s="33">
        <v>52186.900699999998</v>
      </c>
      <c r="D24" s="32">
        <v>2.0000000000000001E-4</v>
      </c>
      <c r="E24">
        <f t="shared" si="0"/>
        <v>1569.0993075493984</v>
      </c>
      <c r="F24">
        <f t="shared" si="1"/>
        <v>1569</v>
      </c>
      <c r="G24">
        <f t="shared" si="2"/>
        <v>5.8799999998882413E-2</v>
      </c>
      <c r="I24">
        <f>+G24</f>
        <v>5.8799999998882413E-2</v>
      </c>
      <c r="O24">
        <f t="shared" ca="1" si="3"/>
        <v>5.8420357247095572E-2</v>
      </c>
      <c r="Q24" s="1">
        <f t="shared" si="4"/>
        <v>37168.400699999998</v>
      </c>
    </row>
    <row r="25" spans="1:17" x14ac:dyDescent="0.2">
      <c r="A25" s="12" t="s">
        <v>37</v>
      </c>
      <c r="B25" s="16" t="s">
        <v>35</v>
      </c>
      <c r="C25" s="33">
        <v>52189.567130000003</v>
      </c>
      <c r="D25" s="32">
        <v>1E-4</v>
      </c>
      <c r="E25">
        <f t="shared" si="0"/>
        <v>1573.6026515791314</v>
      </c>
      <c r="F25">
        <f t="shared" si="1"/>
        <v>1573.5</v>
      </c>
      <c r="G25">
        <f t="shared" si="2"/>
        <v>6.0780000007071067E-2</v>
      </c>
      <c r="I25">
        <f>+G25</f>
        <v>6.0780000007071067E-2</v>
      </c>
      <c r="O25">
        <f t="shared" ca="1" si="3"/>
        <v>5.8583643849768607E-2</v>
      </c>
      <c r="Q25" s="1">
        <f t="shared" si="4"/>
        <v>37171.067130000003</v>
      </c>
    </row>
    <row r="26" spans="1:17" x14ac:dyDescent="0.2">
      <c r="A26" s="12" t="s">
        <v>37</v>
      </c>
      <c r="B26" s="16" t="s">
        <v>35</v>
      </c>
      <c r="C26" s="33">
        <v>52307.993199999997</v>
      </c>
      <c r="D26" s="32"/>
      <c r="E26">
        <f t="shared" si="0"/>
        <v>1773.6129032258025</v>
      </c>
      <c r="F26">
        <f t="shared" si="1"/>
        <v>1773.5</v>
      </c>
      <c r="G26">
        <f t="shared" si="2"/>
        <v>6.6849999995611142E-2</v>
      </c>
      <c r="I26">
        <f>+G26</f>
        <v>6.6849999995611142E-2</v>
      </c>
      <c r="O26">
        <f t="shared" ca="1" si="3"/>
        <v>6.584082619079229E-2</v>
      </c>
      <c r="Q26" s="1">
        <f t="shared" si="4"/>
        <v>37289.493199999997</v>
      </c>
    </row>
    <row r="27" spans="1:17" x14ac:dyDescent="0.2">
      <c r="A27" s="34" t="s">
        <v>45</v>
      </c>
      <c r="B27" s="2"/>
      <c r="C27" s="9">
        <v>54551.003400000001</v>
      </c>
      <c r="D27" s="9">
        <v>2.9999999999999997E-4</v>
      </c>
      <c r="E27" s="36">
        <f>+(C27-C$7)/C$8-0.5</f>
        <v>5561.3415808140553</v>
      </c>
      <c r="F27">
        <f t="shared" si="1"/>
        <v>5561.5</v>
      </c>
      <c r="G27">
        <f>+C27-(C$7+F27*C$8)</f>
        <v>0.20225000000209548</v>
      </c>
      <c r="I27">
        <f>+G27</f>
        <v>0.20225000000209548</v>
      </c>
      <c r="O27">
        <f ca="1">+C$11+C$12*$F27</f>
        <v>0.20329185972978081</v>
      </c>
      <c r="Q27" s="1">
        <f>+C27-15018.5</f>
        <v>39532.503400000001</v>
      </c>
    </row>
    <row r="28" spans="1:17" x14ac:dyDescent="0.2">
      <c r="B28" s="2"/>
      <c r="C28" s="9"/>
      <c r="D28" s="9"/>
      <c r="Q28" s="1"/>
    </row>
    <row r="29" spans="1:17" x14ac:dyDescent="0.2">
      <c r="B29" s="2"/>
      <c r="C29" s="9"/>
      <c r="D29" s="9"/>
      <c r="Q29" s="1"/>
    </row>
    <row r="30" spans="1:17" x14ac:dyDescent="0.2">
      <c r="B30" s="2"/>
      <c r="C30" s="9"/>
      <c r="D30" s="9"/>
      <c r="Q30" s="1"/>
    </row>
    <row r="31" spans="1:17" x14ac:dyDescent="0.2">
      <c r="B31" s="2"/>
      <c r="C31" s="9"/>
      <c r="D31" s="9"/>
      <c r="Q31" s="1"/>
    </row>
    <row r="32" spans="1:17" x14ac:dyDescent="0.2">
      <c r="B32" s="2"/>
      <c r="C32" s="9"/>
      <c r="D32" s="9"/>
      <c r="Q32" s="1"/>
    </row>
    <row r="33" spans="2:17" x14ac:dyDescent="0.2">
      <c r="B33" s="2"/>
      <c r="C33" s="9"/>
      <c r="D33" s="9"/>
      <c r="Q33" s="1"/>
    </row>
    <row r="34" spans="2:17" x14ac:dyDescent="0.2">
      <c r="B34" s="2"/>
      <c r="C34" s="9"/>
      <c r="D34" s="9"/>
    </row>
    <row r="35" spans="2:17" x14ac:dyDescent="0.2">
      <c r="B35" s="2"/>
      <c r="C35" s="9"/>
      <c r="D35" s="9"/>
    </row>
    <row r="36" spans="2:17" x14ac:dyDescent="0.2">
      <c r="B36" s="2"/>
      <c r="C36" s="9"/>
      <c r="D36" s="9"/>
    </row>
    <row r="37" spans="2:17" x14ac:dyDescent="0.2">
      <c r="B37" s="2"/>
      <c r="C37" s="9"/>
      <c r="D37" s="9"/>
    </row>
    <row r="38" spans="2:17" x14ac:dyDescent="0.2">
      <c r="B38" s="2"/>
      <c r="C38" s="9"/>
      <c r="D38" s="9"/>
    </row>
    <row r="39" spans="2:17" x14ac:dyDescent="0.2">
      <c r="B39" s="2"/>
      <c r="C39" s="9"/>
      <c r="D39" s="9"/>
    </row>
    <row r="40" spans="2:17" x14ac:dyDescent="0.2">
      <c r="B40" s="2"/>
      <c r="C40" s="9"/>
      <c r="D40" s="9"/>
    </row>
    <row r="41" spans="2:17" x14ac:dyDescent="0.2">
      <c r="B41" s="2"/>
      <c r="C41" s="9"/>
      <c r="D41" s="9"/>
    </row>
    <row r="42" spans="2:17" x14ac:dyDescent="0.2">
      <c r="B42" s="2"/>
      <c r="C42" s="9"/>
      <c r="D42" s="9"/>
    </row>
    <row r="43" spans="2:17" x14ac:dyDescent="0.2">
      <c r="B43" s="2"/>
      <c r="C43" s="9"/>
      <c r="D43" s="9"/>
    </row>
    <row r="44" spans="2:17" x14ac:dyDescent="0.2">
      <c r="C44" s="9"/>
      <c r="D44" s="9"/>
    </row>
    <row r="45" spans="2:17" x14ac:dyDescent="0.2">
      <c r="C45" s="9"/>
      <c r="D45" s="9"/>
    </row>
    <row r="46" spans="2:17" x14ac:dyDescent="0.2">
      <c r="C46" s="9"/>
      <c r="D46" s="9"/>
    </row>
    <row r="47" spans="2:17" x14ac:dyDescent="0.2">
      <c r="C47" s="9"/>
      <c r="D47" s="9"/>
    </row>
    <row r="48" spans="2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2023-12-29T06:56:51Z</dcterms:modified>
</cp:coreProperties>
</file>