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9BF004D-D850-4DAC-B7F4-79A85F840300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K53" i="1" s="1"/>
  <c r="Q53" i="1"/>
  <c r="E52" i="1"/>
  <c r="F52" i="1"/>
  <c r="G52" i="1"/>
  <c r="K52" i="1"/>
  <c r="Q52" i="1"/>
  <c r="Q51" i="1"/>
  <c r="C7" i="1"/>
  <c r="E51" i="1"/>
  <c r="F51" i="1"/>
  <c r="C8" i="1"/>
  <c r="E23" i="1"/>
  <c r="F23" i="1"/>
  <c r="G23" i="1"/>
  <c r="E24" i="1"/>
  <c r="F24" i="1"/>
  <c r="E26" i="1"/>
  <c r="F26" i="1"/>
  <c r="G26" i="1"/>
  <c r="I26" i="1"/>
  <c r="E29" i="1"/>
  <c r="F29" i="1"/>
  <c r="E30" i="1"/>
  <c r="F30" i="1"/>
  <c r="G30" i="1"/>
  <c r="I30" i="1"/>
  <c r="E31" i="1"/>
  <c r="F31" i="1"/>
  <c r="G31" i="1"/>
  <c r="E32" i="1"/>
  <c r="F32" i="1"/>
  <c r="G32" i="1"/>
  <c r="I32" i="1"/>
  <c r="E34" i="1"/>
  <c r="F34" i="1"/>
  <c r="G34" i="1"/>
  <c r="I34" i="1"/>
  <c r="E36" i="1"/>
  <c r="F36" i="1"/>
  <c r="G36" i="1"/>
  <c r="I36" i="1"/>
  <c r="E37" i="1"/>
  <c r="F37" i="1"/>
  <c r="E38" i="1"/>
  <c r="F38" i="1"/>
  <c r="G38" i="1"/>
  <c r="I38" i="1"/>
  <c r="E39" i="1"/>
  <c r="F39" i="1"/>
  <c r="G39" i="1"/>
  <c r="E40" i="1"/>
  <c r="F40" i="1"/>
  <c r="G40" i="1"/>
  <c r="I40" i="1"/>
  <c r="E46" i="1"/>
  <c r="F46" i="1"/>
  <c r="G46" i="1"/>
  <c r="I46" i="1"/>
  <c r="E49" i="1"/>
  <c r="F49" i="1"/>
  <c r="G49" i="1"/>
  <c r="K49" i="1"/>
  <c r="D9" i="1"/>
  <c r="C9" i="1"/>
  <c r="E41" i="1"/>
  <c r="F41" i="1"/>
  <c r="G41" i="1"/>
  <c r="E42" i="1"/>
  <c r="F42" i="1"/>
  <c r="E43" i="1"/>
  <c r="F43" i="1"/>
  <c r="G43" i="1"/>
  <c r="I43" i="1"/>
  <c r="E44" i="1"/>
  <c r="F44" i="1"/>
  <c r="G44" i="1"/>
  <c r="E47" i="1"/>
  <c r="F47" i="1"/>
  <c r="G47" i="1"/>
  <c r="J47" i="1"/>
  <c r="Q49" i="1"/>
  <c r="Q48" i="1"/>
  <c r="Q46" i="1"/>
  <c r="Q45" i="1"/>
  <c r="Q40" i="1"/>
  <c r="Q39" i="1"/>
  <c r="I39" i="1"/>
  <c r="Q38" i="1"/>
  <c r="Q37" i="1"/>
  <c r="Q36" i="1"/>
  <c r="Q35" i="1"/>
  <c r="Q34" i="1"/>
  <c r="Q33" i="1"/>
  <c r="Q32" i="1"/>
  <c r="Q31" i="1"/>
  <c r="I31" i="1"/>
  <c r="Q30" i="1"/>
  <c r="Q29" i="1"/>
  <c r="Q28" i="1"/>
  <c r="Q27" i="1"/>
  <c r="Q26" i="1"/>
  <c r="Q25" i="1"/>
  <c r="Q24" i="1"/>
  <c r="Q23" i="1"/>
  <c r="I23" i="1"/>
  <c r="Q21" i="1"/>
  <c r="G38" i="2"/>
  <c r="C38" i="2"/>
  <c r="E38" i="2"/>
  <c r="G37" i="2"/>
  <c r="C37" i="2"/>
  <c r="E37" i="2"/>
  <c r="G36" i="2"/>
  <c r="C36" i="2"/>
  <c r="G14" i="2"/>
  <c r="C14" i="2"/>
  <c r="E14" i="2"/>
  <c r="G35" i="2"/>
  <c r="C35" i="2"/>
  <c r="E35" i="2"/>
  <c r="G34" i="2"/>
  <c r="C34" i="2"/>
  <c r="G13" i="2"/>
  <c r="C13" i="2"/>
  <c r="E13" i="2"/>
  <c r="G12" i="2"/>
  <c r="C12" i="2"/>
  <c r="E12" i="2"/>
  <c r="G11" i="2"/>
  <c r="C11" i="2"/>
  <c r="E11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G27" i="2"/>
  <c r="C27" i="2"/>
  <c r="E27" i="2"/>
  <c r="G26" i="2"/>
  <c r="C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G20" i="2"/>
  <c r="C20" i="2"/>
  <c r="G19" i="2"/>
  <c r="C19" i="2"/>
  <c r="E19" i="2"/>
  <c r="G18" i="2"/>
  <c r="C18" i="2"/>
  <c r="G17" i="2"/>
  <c r="C17" i="2"/>
  <c r="E17" i="2"/>
  <c r="G16" i="2"/>
  <c r="C16" i="2"/>
  <c r="E16" i="2"/>
  <c r="G15" i="2"/>
  <c r="C15" i="2"/>
  <c r="H38" i="2"/>
  <c r="B38" i="2"/>
  <c r="D38" i="2"/>
  <c r="A38" i="2"/>
  <c r="H37" i="2"/>
  <c r="B37" i="2"/>
  <c r="D37" i="2"/>
  <c r="A37" i="2"/>
  <c r="H36" i="2"/>
  <c r="B36" i="2"/>
  <c r="D36" i="2"/>
  <c r="A36" i="2"/>
  <c r="H14" i="2"/>
  <c r="B14" i="2"/>
  <c r="D14" i="2"/>
  <c r="A14" i="2"/>
  <c r="H35" i="2"/>
  <c r="B35" i="2"/>
  <c r="D35" i="2"/>
  <c r="A35" i="2"/>
  <c r="H34" i="2"/>
  <c r="B34" i="2"/>
  <c r="D34" i="2"/>
  <c r="A34" i="2"/>
  <c r="H13" i="2"/>
  <c r="B13" i="2"/>
  <c r="D13" i="2"/>
  <c r="A13" i="2"/>
  <c r="H12" i="2"/>
  <c r="B12" i="2"/>
  <c r="D12" i="2"/>
  <c r="A12" i="2"/>
  <c r="H11" i="2"/>
  <c r="B11" i="2"/>
  <c r="D11" i="2"/>
  <c r="A11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Q47" i="1"/>
  <c r="F16" i="1"/>
  <c r="C17" i="1"/>
  <c r="Q50" i="1"/>
  <c r="I41" i="1"/>
  <c r="Q41" i="1"/>
  <c r="Q42" i="1"/>
  <c r="Q43" i="1"/>
  <c r="I44" i="1"/>
  <c r="Q44" i="1"/>
  <c r="Q22" i="1"/>
  <c r="E21" i="2"/>
  <c r="E28" i="1"/>
  <c r="F28" i="1"/>
  <c r="G28" i="1"/>
  <c r="I28" i="1"/>
  <c r="E50" i="1"/>
  <c r="F50" i="1"/>
  <c r="G50" i="1"/>
  <c r="K50" i="1"/>
  <c r="E45" i="1"/>
  <c r="F45" i="1"/>
  <c r="G45" i="1"/>
  <c r="J45" i="1"/>
  <c r="E33" i="1"/>
  <c r="F33" i="1"/>
  <c r="G33" i="1"/>
  <c r="I33" i="1"/>
  <c r="E25" i="1"/>
  <c r="F25" i="1"/>
  <c r="G25" i="1"/>
  <c r="I25" i="1"/>
  <c r="G24" i="1"/>
  <c r="I24" i="1"/>
  <c r="E21" i="1"/>
  <c r="G51" i="1"/>
  <c r="K51" i="1"/>
  <c r="G42" i="1"/>
  <c r="I42" i="1"/>
  <c r="E22" i="1"/>
  <c r="F22" i="1"/>
  <c r="G22" i="1"/>
  <c r="H22" i="1"/>
  <c r="E48" i="1"/>
  <c r="F48" i="1"/>
  <c r="G48" i="1"/>
  <c r="K48" i="1"/>
  <c r="G37" i="1"/>
  <c r="I37" i="1"/>
  <c r="E35" i="1"/>
  <c r="G29" i="1"/>
  <c r="I29" i="1"/>
  <c r="E27" i="1"/>
  <c r="F35" i="1"/>
  <c r="G35" i="1"/>
  <c r="I35" i="1"/>
  <c r="E28" i="2"/>
  <c r="E36" i="2"/>
  <c r="E18" i="2"/>
  <c r="F27" i="1"/>
  <c r="G27" i="1"/>
  <c r="I27" i="1"/>
  <c r="E20" i="2"/>
  <c r="F21" i="1"/>
  <c r="G21" i="1"/>
  <c r="E15" i="2"/>
  <c r="E34" i="2"/>
  <c r="E26" i="2"/>
  <c r="I21" i="1"/>
  <c r="C12" i="1"/>
  <c r="C11" i="1"/>
  <c r="O53" i="1" l="1"/>
  <c r="O24" i="1"/>
  <c r="O36" i="1"/>
  <c r="O31" i="1"/>
  <c r="O52" i="1"/>
  <c r="O38" i="1"/>
  <c r="O34" i="1"/>
  <c r="O21" i="1"/>
  <c r="O45" i="1"/>
  <c r="O40" i="1"/>
  <c r="O35" i="1"/>
  <c r="O26" i="1"/>
  <c r="O42" i="1"/>
  <c r="O25" i="1"/>
  <c r="O37" i="1"/>
  <c r="O29" i="1"/>
  <c r="O47" i="1"/>
  <c r="O50" i="1"/>
  <c r="O28" i="1"/>
  <c r="O44" i="1"/>
  <c r="O39" i="1"/>
  <c r="O43" i="1"/>
  <c r="O23" i="1"/>
  <c r="O32" i="1"/>
  <c r="O27" i="1"/>
  <c r="O48" i="1"/>
  <c r="O49" i="1"/>
  <c r="O30" i="1"/>
  <c r="O22" i="1"/>
  <c r="O46" i="1"/>
  <c r="O51" i="1"/>
  <c r="O33" i="1"/>
  <c r="C15" i="1"/>
  <c r="O41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<sst xmlns="http://schemas.openxmlformats.org/spreadsheetml/2006/main" count="356" uniqueCount="176">
  <si>
    <t>IBVS 6196</t>
  </si>
  <si>
    <t>0.0006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</si>
  <si>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</si>
  <si>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</si>
  <si>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</si>
  <si>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</si>
  <si>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</si>
  <si>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</si>
  <si>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</si>
  <si>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</si>
  <si>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</si>
  <si>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</si>
  <si>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</si>
  <si>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</si>
  <si>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</si>
  <si>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</si>
  <si>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</si>
  <si>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</si>
  <si>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</si>
  <si>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</si>
  <si>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</si>
  <si>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</si>
  <si>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</si>
  <si>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</si>
  <si>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</si>
  <si>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</si>
  <si>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</si>
  <si>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</si>
  <si>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</si>
  <si>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</si>
  <si>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Paschke A</t>
  </si>
  <si>
    <t>BBSAG Bull.86</t>
  </si>
  <si>
    <t>B</t>
  </si>
  <si>
    <t>BBSAG Bull.95</t>
  </si>
  <si>
    <t>BBSAG Bull.113</t>
  </si>
  <si>
    <t>Diethelm R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</si>
  <si>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</si>
  <si>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</si>
  <si>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</si>
  <si>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</si>
  <si>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</si>
  <si>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</si>
  <si>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</si>
  <si>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OEJV 0094</t>
  </si>
  <si>
    <t>I</t>
  </si>
  <si>
    <t>EB/KE</t>
  </si>
  <si>
    <t>AL Del / GSC 1096-0502</t>
  </si>
  <si>
    <t>Add cycle</t>
  </si>
  <si>
    <t>Old Cycle</t>
  </si>
  <si>
    <t>IBVS 5761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</si>
  <si>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</si>
  <si>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</si>
  <si>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</si>
  <si>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</si>
  <si>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</si>
  <si>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</si>
  <si>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</si>
  <si>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</si>
  <si>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</si>
  <si>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</si>
  <si>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</si>
  <si>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</si>
  <si>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</si>
  <si>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2425807.505 </t>
  </si>
  <si>
    <t> 15.07.1929 00:07 </t>
  </si>
  <si>
    <t> -0.015 </t>
  </si>
  <si>
    <t>P </t>
  </si>
  <si>
    <t> A.Jensch </t>
  </si>
  <si>
    <t> KVBB 19.44 </t>
  </si>
  <si>
    <t>2425862.451 </t>
  </si>
  <si>
    <t> 07.09.1929 22:49 </t>
  </si>
  <si>
    <t> -0.032 </t>
  </si>
  <si>
    <t>2425865.459 </t>
  </si>
  <si>
    <t> 10.09.1929 23:00 </t>
  </si>
  <si>
    <t> 0.005 </t>
  </si>
  <si>
    <t>2425938.249 </t>
  </si>
  <si>
    <t> 22.11.1929 17:58 </t>
  </si>
  <si>
    <t> 0.006 </t>
  </si>
  <si>
    <t>2426119.513 </t>
  </si>
  <si>
    <t> 23.05.1930 00:18 </t>
  </si>
  <si>
    <t> 0.041 </t>
  </si>
  <si>
    <t>2426651.297 </t>
  </si>
  <si>
    <t> 05.11.1931 19:07 </t>
  </si>
  <si>
    <t> 0.022 </t>
  </si>
  <si>
    <t>2429846.551 </t>
  </si>
  <si>
    <t> 05.08.1940 01:13 </t>
  </si>
  <si>
    <t> T.Berthold </t>
  </si>
  <si>
    <t> MHAR 14.9 </t>
  </si>
  <si>
    <t>2430606.367 </t>
  </si>
  <si>
    <t> 03.09.1942 20:48 </t>
  </si>
  <si>
    <t> -0.012 </t>
  </si>
  <si>
    <t>2430614.540 </t>
  </si>
  <si>
    <t> 12.09.1942 00:57 </t>
  </si>
  <si>
    <t> -0.009 </t>
  </si>
  <si>
    <t>2431376.583 </t>
  </si>
  <si>
    <t> 13.10.1944 01:59 </t>
  </si>
  <si>
    <t> -0.020 </t>
  </si>
  <si>
    <t> B.S.Whitney </t>
  </si>
  <si>
    <t> AJ 55.231 </t>
  </si>
  <si>
    <t>2432138.650 </t>
  </si>
  <si>
    <t> 14.11.1946 03:36 </t>
  </si>
  <si>
    <t> -0.007 </t>
  </si>
  <si>
    <t>2433114.643 </t>
  </si>
  <si>
    <t> 17.07.1949 03:25 </t>
  </si>
  <si>
    <t>2438315.287 </t>
  </si>
  <si>
    <t> 12.10.1963 18:53 </t>
  </si>
  <si>
    <t> -0.017 </t>
  </si>
  <si>
    <t>2438318.269 </t>
  </si>
  <si>
    <t> 15.10.1963 18:27 </t>
  </si>
  <si>
    <t> -0.006 </t>
  </si>
  <si>
    <t>2438670.382 </t>
  </si>
  <si>
    <t> 01.10.1964 21:10 </t>
  </si>
  <si>
    <t> 0.047 </t>
  </si>
  <si>
    <t>2438804.081 </t>
  </si>
  <si>
    <t> 12.02.1965 13:56 </t>
  </si>
  <si>
    <t> 0.053 </t>
  </si>
  <si>
    <t> V.G.Karetnikov </t>
  </si>
  <si>
    <t> AC 1162.6 </t>
  </si>
  <si>
    <t>2438973.401 </t>
  </si>
  <si>
    <t> 31.07.1965 21:37 </t>
  </si>
  <si>
    <t> 0.027 </t>
  </si>
  <si>
    <t>2439178.438 </t>
  </si>
  <si>
    <t> 21.02.1966 22:30 </t>
  </si>
  <si>
    <t> 0.068 </t>
  </si>
  <si>
    <t>2439193.197 </t>
  </si>
  <si>
    <t> 08.03.1966 16:43 </t>
  </si>
  <si>
    <t> -0.028 </t>
  </si>
  <si>
    <t>2447057.41 </t>
  </si>
  <si>
    <t> 18.09.1987 21:50 </t>
  </si>
  <si>
    <t> 0.03 </t>
  </si>
  <si>
    <t>V </t>
  </si>
  <si>
    <t> A.Paschke </t>
  </si>
  <si>
    <t> BBS 86 </t>
  </si>
  <si>
    <t>2447840.290 </t>
  </si>
  <si>
    <t> 09.11.1989 18:57 </t>
  </si>
  <si>
    <t> 0.056 </t>
  </si>
  <si>
    <t>E </t>
  </si>
  <si>
    <t>?</t>
  </si>
  <si>
    <t> BBS 95 </t>
  </si>
  <si>
    <t>2450279.43 </t>
  </si>
  <si>
    <t> 14.07.1996 22:19 </t>
  </si>
  <si>
    <t> BBS 113 </t>
  </si>
  <si>
    <t>2450334.4075 </t>
  </si>
  <si>
    <t> 07.09.1996 21:46 </t>
  </si>
  <si>
    <t> 0.0447 </t>
  </si>
  <si>
    <t> R.Diethelm </t>
  </si>
  <si>
    <t>2452118.470 </t>
  </si>
  <si>
    <t> 27.07.2001 23:16 </t>
  </si>
  <si>
    <t> 0.040 </t>
  </si>
  <si>
    <t> BBS 126 </t>
  </si>
  <si>
    <t>2453966.4120 </t>
  </si>
  <si>
    <t> 18.08.2006 21:53 </t>
  </si>
  <si>
    <t> 0.0383 </t>
  </si>
  <si>
    <t>C </t>
  </si>
  <si>
    <t>-I</t>
  </si>
  <si>
    <t> F.Agerer </t>
  </si>
  <si>
    <t>BAVM 183 </t>
  </si>
  <si>
    <t>2454327.3837 </t>
  </si>
  <si>
    <t> 14.08.2007 21:12 </t>
  </si>
  <si>
    <t>19199</t>
  </si>
  <si>
    <t> 0.0372 </t>
  </si>
  <si>
    <t>BAVM 193 </t>
  </si>
  <si>
    <t>2454385.3184 </t>
  </si>
  <si>
    <t> 11.10.2007 19:38 </t>
  </si>
  <si>
    <t>19238</t>
  </si>
  <si>
    <t> 0.0380 </t>
  </si>
  <si>
    <t>2454388.2961 </t>
  </si>
  <si>
    <t> 14.10.2007 19:06 </t>
  </si>
  <si>
    <t>19240</t>
  </si>
  <si>
    <t>R</t>
  </si>
  <si>
    <t> R.Ehrenberger </t>
  </si>
  <si>
    <t>OEJV 0094 </t>
  </si>
  <si>
    <t>II</t>
  </si>
  <si>
    <t>BAD?</t>
  </si>
  <si>
    <t>OEJV 0211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</si>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</sst>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1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14" fontId="11" fillId="0" borderId="0" xfId="0" applyNumberFormat="1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42" applyFont="1" applyAlignment="1">
      <alignment wrapText="1"/>
    </xf>
    <xf numFmtId="0" fontId="16" fillId="0" borderId="0" xfId="42" applyFont="1" applyAlignment="1">
      <alignment horizontal="center" wrapText="1"/>
    </xf>
    <xf numFmtId="0" fontId="16" fillId="0" borderId="0" xfId="42" applyFont="1" applyAlignment="1">
      <alignment horizontal="left" wrapText="1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165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AL Del - O-C Diagr.</a:t>
            </a:r>
          </a:p>
        </c:rich>
      </c:tx>
      <c:layout>
        <c:manualLayout>
          <c:xMode val="edge"/>
          <c:yMode val="edge"/>
          <c:x val="0.3880371318615847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6942623165667"/>
          <c:y val="0.14723926380368099"/>
          <c:w val="0.81901901826937118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39</c:v>
                </c:pt>
                <c:pt idx="4">
                  <c:v>88</c:v>
                </c:pt>
                <c:pt idx="5">
                  <c:v>210</c:v>
                </c:pt>
                <c:pt idx="6">
                  <c:v>568</c:v>
                </c:pt>
                <c:pt idx="7">
                  <c:v>2719</c:v>
                </c:pt>
                <c:pt idx="8">
                  <c:v>3230.5</c:v>
                </c:pt>
                <c:pt idx="9">
                  <c:v>3236</c:v>
                </c:pt>
                <c:pt idx="10">
                  <c:v>3749</c:v>
                </c:pt>
                <c:pt idx="11">
                  <c:v>4262</c:v>
                </c:pt>
                <c:pt idx="12">
                  <c:v>4919</c:v>
                </c:pt>
                <c:pt idx="13">
                  <c:v>8420</c:v>
                </c:pt>
                <c:pt idx="14">
                  <c:v>8422</c:v>
                </c:pt>
                <c:pt idx="15">
                  <c:v>8659</c:v>
                </c:pt>
                <c:pt idx="16">
                  <c:v>8749</c:v>
                </c:pt>
                <c:pt idx="17">
                  <c:v>8863</c:v>
                </c:pt>
                <c:pt idx="18">
                  <c:v>9001</c:v>
                </c:pt>
                <c:pt idx="19">
                  <c:v>9011</c:v>
                </c:pt>
                <c:pt idx="20">
                  <c:v>14305</c:v>
                </c:pt>
                <c:pt idx="21">
                  <c:v>14832</c:v>
                </c:pt>
                <c:pt idx="22">
                  <c:v>16474</c:v>
                </c:pt>
                <c:pt idx="23">
                  <c:v>16511</c:v>
                </c:pt>
                <c:pt idx="24">
                  <c:v>16511</c:v>
                </c:pt>
                <c:pt idx="25">
                  <c:v>17712</c:v>
                </c:pt>
                <c:pt idx="26">
                  <c:v>18956</c:v>
                </c:pt>
                <c:pt idx="27">
                  <c:v>19199</c:v>
                </c:pt>
                <c:pt idx="28">
                  <c:v>19238</c:v>
                </c:pt>
                <c:pt idx="29">
                  <c:v>19240</c:v>
                </c:pt>
                <c:pt idx="30">
                  <c:v>21154</c:v>
                </c:pt>
                <c:pt idx="31">
                  <c:v>21642</c:v>
                </c:pt>
                <c:pt idx="32">
                  <c:v>22936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F4-4DB6-8A5A-7A0E454A3AE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1.4E-3</c:v>
                  </c:pt>
                  <c:pt idx="30">
                    <c:v>0</c:v>
                  </c:pt>
                  <c:pt idx="31">
                    <c:v>1.1999999999999999E-3</c:v>
                  </c:pt>
                  <c:pt idx="32">
                    <c:v>3.8999999999999998E-3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1.4E-3</c:v>
                  </c:pt>
                  <c:pt idx="30">
                    <c:v>0</c:v>
                  </c:pt>
                  <c:pt idx="31">
                    <c:v>1.1999999999999999E-3</c:v>
                  </c:pt>
                  <c:pt idx="3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39</c:v>
                </c:pt>
                <c:pt idx="4">
                  <c:v>88</c:v>
                </c:pt>
                <c:pt idx="5">
                  <c:v>210</c:v>
                </c:pt>
                <c:pt idx="6">
                  <c:v>568</c:v>
                </c:pt>
                <c:pt idx="7">
                  <c:v>2719</c:v>
                </c:pt>
                <c:pt idx="8">
                  <c:v>3230.5</c:v>
                </c:pt>
                <c:pt idx="9">
                  <c:v>3236</c:v>
                </c:pt>
                <c:pt idx="10">
                  <c:v>3749</c:v>
                </c:pt>
                <c:pt idx="11">
                  <c:v>4262</c:v>
                </c:pt>
                <c:pt idx="12">
                  <c:v>4919</c:v>
                </c:pt>
                <c:pt idx="13">
                  <c:v>8420</c:v>
                </c:pt>
                <c:pt idx="14">
                  <c:v>8422</c:v>
                </c:pt>
                <c:pt idx="15">
                  <c:v>8659</c:v>
                </c:pt>
                <c:pt idx="16">
                  <c:v>8749</c:v>
                </c:pt>
                <c:pt idx="17">
                  <c:v>8863</c:v>
                </c:pt>
                <c:pt idx="18">
                  <c:v>9001</c:v>
                </c:pt>
                <c:pt idx="19">
                  <c:v>9011</c:v>
                </c:pt>
                <c:pt idx="20">
                  <c:v>14305</c:v>
                </c:pt>
                <c:pt idx="21">
                  <c:v>14832</c:v>
                </c:pt>
                <c:pt idx="22">
                  <c:v>16474</c:v>
                </c:pt>
                <c:pt idx="23">
                  <c:v>16511</c:v>
                </c:pt>
                <c:pt idx="24">
                  <c:v>16511</c:v>
                </c:pt>
                <c:pt idx="25">
                  <c:v>17712</c:v>
                </c:pt>
                <c:pt idx="26">
                  <c:v>18956</c:v>
                </c:pt>
                <c:pt idx="27">
                  <c:v>19199</c:v>
                </c:pt>
                <c:pt idx="28">
                  <c:v>19238</c:v>
                </c:pt>
                <c:pt idx="29">
                  <c:v>19240</c:v>
                </c:pt>
                <c:pt idx="30">
                  <c:v>21154</c:v>
                </c:pt>
                <c:pt idx="31">
                  <c:v>21642</c:v>
                </c:pt>
                <c:pt idx="32">
                  <c:v>22936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-1.4999999999417923E-2</c:v>
                </c:pt>
                <c:pt idx="2">
                  <c:v>-3.1944999998813728E-2</c:v>
                </c:pt>
                <c:pt idx="3">
                  <c:v>5.0849999970523641E-3</c:v>
                </c:pt>
                <c:pt idx="4">
                  <c:v>6.3200000004144385E-3</c:v>
                </c:pt>
                <c:pt idx="5">
                  <c:v>4.1149999997287523E-2</c:v>
                </c:pt>
                <c:pt idx="6">
                  <c:v>2.1519999998417916E-2</c:v>
                </c:pt>
                <c:pt idx="7">
                  <c:v>-2.7150000023539178E-3</c:v>
                </c:pt>
                <c:pt idx="8">
                  <c:v>-1.2292500003241003E-2</c:v>
                </c:pt>
                <c:pt idx="9">
                  <c:v>-9.4600000011269003E-3</c:v>
                </c:pt>
                <c:pt idx="10">
                  <c:v>-2.0265000002837041E-2</c:v>
                </c:pt>
                <c:pt idx="11">
                  <c:v>-7.069999999657739E-3</c:v>
                </c:pt>
                <c:pt idx="12">
                  <c:v>2.2284999999101274E-2</c:v>
                </c:pt>
                <c:pt idx="13">
                  <c:v>-1.6700000007404014E-2</c:v>
                </c:pt>
                <c:pt idx="14">
                  <c:v>-5.6699999986449257E-3</c:v>
                </c:pt>
                <c:pt idx="15">
                  <c:v>4.7384999998030253E-2</c:v>
                </c:pt>
                <c:pt idx="16">
                  <c:v>5.2734999997483101E-2</c:v>
                </c:pt>
                <c:pt idx="17">
                  <c:v>2.7444999999715947E-2</c:v>
                </c:pt>
                <c:pt idx="18">
                  <c:v>6.7515000002458692E-2</c:v>
                </c:pt>
                <c:pt idx="19">
                  <c:v>-2.833499999542255E-2</c:v>
                </c:pt>
                <c:pt idx="20">
                  <c:v>2.7075000005424954E-2</c:v>
                </c:pt>
                <c:pt idx="21">
                  <c:v>5.6480000006558839E-2</c:v>
                </c:pt>
                <c:pt idx="22">
                  <c:v>3.0109999999694992E-2</c:v>
                </c:pt>
                <c:pt idx="23">
                  <c:v>4.4164999999338761E-2</c:v>
                </c:pt>
                <c:pt idx="25">
                  <c:v>3.9680000001681037E-2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F4-4DB6-8A5A-7A0E454A3AE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39</c:v>
                </c:pt>
                <c:pt idx="4">
                  <c:v>88</c:v>
                </c:pt>
                <c:pt idx="5">
                  <c:v>210</c:v>
                </c:pt>
                <c:pt idx="6">
                  <c:v>568</c:v>
                </c:pt>
                <c:pt idx="7">
                  <c:v>2719</c:v>
                </c:pt>
                <c:pt idx="8">
                  <c:v>3230.5</c:v>
                </c:pt>
                <c:pt idx="9">
                  <c:v>3236</c:v>
                </c:pt>
                <c:pt idx="10">
                  <c:v>3749</c:v>
                </c:pt>
                <c:pt idx="11">
                  <c:v>4262</c:v>
                </c:pt>
                <c:pt idx="12">
                  <c:v>4919</c:v>
                </c:pt>
                <c:pt idx="13">
                  <c:v>8420</c:v>
                </c:pt>
                <c:pt idx="14">
                  <c:v>8422</c:v>
                </c:pt>
                <c:pt idx="15">
                  <c:v>8659</c:v>
                </c:pt>
                <c:pt idx="16">
                  <c:v>8749</c:v>
                </c:pt>
                <c:pt idx="17">
                  <c:v>8863</c:v>
                </c:pt>
                <c:pt idx="18">
                  <c:v>9001</c:v>
                </c:pt>
                <c:pt idx="19">
                  <c:v>9011</c:v>
                </c:pt>
                <c:pt idx="20">
                  <c:v>14305</c:v>
                </c:pt>
                <c:pt idx="21">
                  <c:v>14832</c:v>
                </c:pt>
                <c:pt idx="22">
                  <c:v>16474</c:v>
                </c:pt>
                <c:pt idx="23">
                  <c:v>16511</c:v>
                </c:pt>
                <c:pt idx="24">
                  <c:v>16511</c:v>
                </c:pt>
                <c:pt idx="25">
                  <c:v>17712</c:v>
                </c:pt>
                <c:pt idx="26">
                  <c:v>18956</c:v>
                </c:pt>
                <c:pt idx="27">
                  <c:v>19199</c:v>
                </c:pt>
                <c:pt idx="28">
                  <c:v>19238</c:v>
                </c:pt>
                <c:pt idx="29">
                  <c:v>19240</c:v>
                </c:pt>
                <c:pt idx="30">
                  <c:v>21154</c:v>
                </c:pt>
                <c:pt idx="31">
                  <c:v>21642</c:v>
                </c:pt>
                <c:pt idx="32">
                  <c:v>22936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4">
                  <c:v>4.4665000001259614E-2</c:v>
                </c:pt>
                <c:pt idx="26">
                  <c:v>3.8339999999152496E-2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F4-4DB6-8A5A-7A0E454A3AE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1.4E-3</c:v>
                  </c:pt>
                  <c:pt idx="30">
                    <c:v>0</c:v>
                  </c:pt>
                  <c:pt idx="31">
                    <c:v>1.1999999999999999E-3</c:v>
                  </c:pt>
                  <c:pt idx="32">
                    <c:v>3.8999999999999998E-3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1.4E-3</c:v>
                  </c:pt>
                  <c:pt idx="30">
                    <c:v>0</c:v>
                  </c:pt>
                  <c:pt idx="31">
                    <c:v>1.1999999999999999E-3</c:v>
                  </c:pt>
                  <c:pt idx="3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39</c:v>
                </c:pt>
                <c:pt idx="4">
                  <c:v>88</c:v>
                </c:pt>
                <c:pt idx="5">
                  <c:v>210</c:v>
                </c:pt>
                <c:pt idx="6">
                  <c:v>568</c:v>
                </c:pt>
                <c:pt idx="7">
                  <c:v>2719</c:v>
                </c:pt>
                <c:pt idx="8">
                  <c:v>3230.5</c:v>
                </c:pt>
                <c:pt idx="9">
                  <c:v>3236</c:v>
                </c:pt>
                <c:pt idx="10">
                  <c:v>3749</c:v>
                </c:pt>
                <c:pt idx="11">
                  <c:v>4262</c:v>
                </c:pt>
                <c:pt idx="12">
                  <c:v>4919</c:v>
                </c:pt>
                <c:pt idx="13">
                  <c:v>8420</c:v>
                </c:pt>
                <c:pt idx="14">
                  <c:v>8422</c:v>
                </c:pt>
                <c:pt idx="15">
                  <c:v>8659</c:v>
                </c:pt>
                <c:pt idx="16">
                  <c:v>8749</c:v>
                </c:pt>
                <c:pt idx="17">
                  <c:v>8863</c:v>
                </c:pt>
                <c:pt idx="18">
                  <c:v>9001</c:v>
                </c:pt>
                <c:pt idx="19">
                  <c:v>9011</c:v>
                </c:pt>
                <c:pt idx="20">
                  <c:v>14305</c:v>
                </c:pt>
                <c:pt idx="21">
                  <c:v>14832</c:v>
                </c:pt>
                <c:pt idx="22">
                  <c:v>16474</c:v>
                </c:pt>
                <c:pt idx="23">
                  <c:v>16511</c:v>
                </c:pt>
                <c:pt idx="24">
                  <c:v>16511</c:v>
                </c:pt>
                <c:pt idx="25">
                  <c:v>17712</c:v>
                </c:pt>
                <c:pt idx="26">
                  <c:v>18956</c:v>
                </c:pt>
                <c:pt idx="27">
                  <c:v>19199</c:v>
                </c:pt>
                <c:pt idx="28">
                  <c:v>19238</c:v>
                </c:pt>
                <c:pt idx="29">
                  <c:v>19240</c:v>
                </c:pt>
                <c:pt idx="30">
                  <c:v>21154</c:v>
                </c:pt>
                <c:pt idx="31">
                  <c:v>21642</c:v>
                </c:pt>
                <c:pt idx="32">
                  <c:v>22936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7">
                  <c:v>3.718500000104541E-2</c:v>
                </c:pt>
                <c:pt idx="28">
                  <c:v>3.7969999997585546E-2</c:v>
                </c:pt>
                <c:pt idx="29">
                  <c:v>4.477000000042608E-2</c:v>
                </c:pt>
                <c:pt idx="30">
                  <c:v>3.9010000000416767E-2</c:v>
                </c:pt>
                <c:pt idx="31">
                  <c:v>3.7190000024565961E-2</c:v>
                </c:pt>
                <c:pt idx="32">
                  <c:v>4.0740000004007015E-2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F4-4DB6-8A5A-7A0E454A3AE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1.4E-3</c:v>
                  </c:pt>
                  <c:pt idx="30">
                    <c:v>0</c:v>
                  </c:pt>
                  <c:pt idx="31">
                    <c:v>1.1999999999999999E-3</c:v>
                  </c:pt>
                  <c:pt idx="32">
                    <c:v>3.8999999999999998E-3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1.4E-3</c:v>
                  </c:pt>
                  <c:pt idx="30">
                    <c:v>0</c:v>
                  </c:pt>
                  <c:pt idx="31">
                    <c:v>1.1999999999999999E-3</c:v>
                  </c:pt>
                  <c:pt idx="3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39</c:v>
                </c:pt>
                <c:pt idx="4">
                  <c:v>88</c:v>
                </c:pt>
                <c:pt idx="5">
                  <c:v>210</c:v>
                </c:pt>
                <c:pt idx="6">
                  <c:v>568</c:v>
                </c:pt>
                <c:pt idx="7">
                  <c:v>2719</c:v>
                </c:pt>
                <c:pt idx="8">
                  <c:v>3230.5</c:v>
                </c:pt>
                <c:pt idx="9">
                  <c:v>3236</c:v>
                </c:pt>
                <c:pt idx="10">
                  <c:v>3749</c:v>
                </c:pt>
                <c:pt idx="11">
                  <c:v>4262</c:v>
                </c:pt>
                <c:pt idx="12">
                  <c:v>4919</c:v>
                </c:pt>
                <c:pt idx="13">
                  <c:v>8420</c:v>
                </c:pt>
                <c:pt idx="14">
                  <c:v>8422</c:v>
                </c:pt>
                <c:pt idx="15">
                  <c:v>8659</c:v>
                </c:pt>
                <c:pt idx="16">
                  <c:v>8749</c:v>
                </c:pt>
                <c:pt idx="17">
                  <c:v>8863</c:v>
                </c:pt>
                <c:pt idx="18">
                  <c:v>9001</c:v>
                </c:pt>
                <c:pt idx="19">
                  <c:v>9011</c:v>
                </c:pt>
                <c:pt idx="20">
                  <c:v>14305</c:v>
                </c:pt>
                <c:pt idx="21">
                  <c:v>14832</c:v>
                </c:pt>
                <c:pt idx="22">
                  <c:v>16474</c:v>
                </c:pt>
                <c:pt idx="23">
                  <c:v>16511</c:v>
                </c:pt>
                <c:pt idx="24">
                  <c:v>16511</c:v>
                </c:pt>
                <c:pt idx="25">
                  <c:v>17712</c:v>
                </c:pt>
                <c:pt idx="26">
                  <c:v>18956</c:v>
                </c:pt>
                <c:pt idx="27">
                  <c:v>19199</c:v>
                </c:pt>
                <c:pt idx="28">
                  <c:v>19238</c:v>
                </c:pt>
                <c:pt idx="29">
                  <c:v>19240</c:v>
                </c:pt>
                <c:pt idx="30">
                  <c:v>21154</c:v>
                </c:pt>
                <c:pt idx="31">
                  <c:v>21642</c:v>
                </c:pt>
                <c:pt idx="32">
                  <c:v>22936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F4-4DB6-8A5A-7A0E454A3AE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1.4E-3</c:v>
                  </c:pt>
                  <c:pt idx="30">
                    <c:v>0</c:v>
                  </c:pt>
                  <c:pt idx="31">
                    <c:v>1.1999999999999999E-3</c:v>
                  </c:pt>
                  <c:pt idx="32">
                    <c:v>3.8999999999999998E-3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1.4E-3</c:v>
                  </c:pt>
                  <c:pt idx="30">
                    <c:v>0</c:v>
                  </c:pt>
                  <c:pt idx="31">
                    <c:v>1.1999999999999999E-3</c:v>
                  </c:pt>
                  <c:pt idx="3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39</c:v>
                </c:pt>
                <c:pt idx="4">
                  <c:v>88</c:v>
                </c:pt>
                <c:pt idx="5">
                  <c:v>210</c:v>
                </c:pt>
                <c:pt idx="6">
                  <c:v>568</c:v>
                </c:pt>
                <c:pt idx="7">
                  <c:v>2719</c:v>
                </c:pt>
                <c:pt idx="8">
                  <c:v>3230.5</c:v>
                </c:pt>
                <c:pt idx="9">
                  <c:v>3236</c:v>
                </c:pt>
                <c:pt idx="10">
                  <c:v>3749</c:v>
                </c:pt>
                <c:pt idx="11">
                  <c:v>4262</c:v>
                </c:pt>
                <c:pt idx="12">
                  <c:v>4919</c:v>
                </c:pt>
                <c:pt idx="13">
                  <c:v>8420</c:v>
                </c:pt>
                <c:pt idx="14">
                  <c:v>8422</c:v>
                </c:pt>
                <c:pt idx="15">
                  <c:v>8659</c:v>
                </c:pt>
                <c:pt idx="16">
                  <c:v>8749</c:v>
                </c:pt>
                <c:pt idx="17">
                  <c:v>8863</c:v>
                </c:pt>
                <c:pt idx="18">
                  <c:v>9001</c:v>
                </c:pt>
                <c:pt idx="19">
                  <c:v>9011</c:v>
                </c:pt>
                <c:pt idx="20">
                  <c:v>14305</c:v>
                </c:pt>
                <c:pt idx="21">
                  <c:v>14832</c:v>
                </c:pt>
                <c:pt idx="22">
                  <c:v>16474</c:v>
                </c:pt>
                <c:pt idx="23">
                  <c:v>16511</c:v>
                </c:pt>
                <c:pt idx="24">
                  <c:v>16511</c:v>
                </c:pt>
                <c:pt idx="25">
                  <c:v>17712</c:v>
                </c:pt>
                <c:pt idx="26">
                  <c:v>18956</c:v>
                </c:pt>
                <c:pt idx="27">
                  <c:v>19199</c:v>
                </c:pt>
                <c:pt idx="28">
                  <c:v>19238</c:v>
                </c:pt>
                <c:pt idx="29">
                  <c:v>19240</c:v>
                </c:pt>
                <c:pt idx="30">
                  <c:v>21154</c:v>
                </c:pt>
                <c:pt idx="31">
                  <c:v>21642</c:v>
                </c:pt>
                <c:pt idx="32">
                  <c:v>22936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F4-4DB6-8A5A-7A0E454A3AE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1.4E-3</c:v>
                  </c:pt>
                  <c:pt idx="30">
                    <c:v>0</c:v>
                  </c:pt>
                  <c:pt idx="31">
                    <c:v>1.1999999999999999E-3</c:v>
                  </c:pt>
                  <c:pt idx="32">
                    <c:v>3.8999999999999998E-3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2">
                    <c:v>0.01</c:v>
                  </c:pt>
                  <c:pt idx="23">
                    <c:v>1.1999999999999999E-3</c:v>
                  </c:pt>
                  <c:pt idx="24">
                    <c:v>0</c:v>
                  </c:pt>
                  <c:pt idx="25">
                    <c:v>0</c:v>
                  </c:pt>
                  <c:pt idx="26">
                    <c:v>1.4E-3</c:v>
                  </c:pt>
                  <c:pt idx="27">
                    <c:v>0</c:v>
                  </c:pt>
                  <c:pt idx="28">
                    <c:v>0</c:v>
                  </c:pt>
                  <c:pt idx="29">
                    <c:v>1.4E-3</c:v>
                  </c:pt>
                  <c:pt idx="30">
                    <c:v>0</c:v>
                  </c:pt>
                  <c:pt idx="31">
                    <c:v>1.1999999999999999E-3</c:v>
                  </c:pt>
                  <c:pt idx="32">
                    <c:v>3.8999999999999998E-3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39</c:v>
                </c:pt>
                <c:pt idx="4">
                  <c:v>88</c:v>
                </c:pt>
                <c:pt idx="5">
                  <c:v>210</c:v>
                </c:pt>
                <c:pt idx="6">
                  <c:v>568</c:v>
                </c:pt>
                <c:pt idx="7">
                  <c:v>2719</c:v>
                </c:pt>
                <c:pt idx="8">
                  <c:v>3230.5</c:v>
                </c:pt>
                <c:pt idx="9">
                  <c:v>3236</c:v>
                </c:pt>
                <c:pt idx="10">
                  <c:v>3749</c:v>
                </c:pt>
                <c:pt idx="11">
                  <c:v>4262</c:v>
                </c:pt>
                <c:pt idx="12">
                  <c:v>4919</c:v>
                </c:pt>
                <c:pt idx="13">
                  <c:v>8420</c:v>
                </c:pt>
                <c:pt idx="14">
                  <c:v>8422</c:v>
                </c:pt>
                <c:pt idx="15">
                  <c:v>8659</c:v>
                </c:pt>
                <c:pt idx="16">
                  <c:v>8749</c:v>
                </c:pt>
                <c:pt idx="17">
                  <c:v>8863</c:v>
                </c:pt>
                <c:pt idx="18">
                  <c:v>9001</c:v>
                </c:pt>
                <c:pt idx="19">
                  <c:v>9011</c:v>
                </c:pt>
                <c:pt idx="20">
                  <c:v>14305</c:v>
                </c:pt>
                <c:pt idx="21">
                  <c:v>14832</c:v>
                </c:pt>
                <c:pt idx="22">
                  <c:v>16474</c:v>
                </c:pt>
                <c:pt idx="23">
                  <c:v>16511</c:v>
                </c:pt>
                <c:pt idx="24">
                  <c:v>16511</c:v>
                </c:pt>
                <c:pt idx="25">
                  <c:v>17712</c:v>
                </c:pt>
                <c:pt idx="26">
                  <c:v>18956</c:v>
                </c:pt>
                <c:pt idx="27">
                  <c:v>19199</c:v>
                </c:pt>
                <c:pt idx="28">
                  <c:v>19238</c:v>
                </c:pt>
                <c:pt idx="29">
                  <c:v>19240</c:v>
                </c:pt>
                <c:pt idx="30">
                  <c:v>21154</c:v>
                </c:pt>
                <c:pt idx="31">
                  <c:v>21642</c:v>
                </c:pt>
                <c:pt idx="32">
                  <c:v>22936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F4-4DB6-8A5A-7A0E454A3AE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39</c:v>
                </c:pt>
                <c:pt idx="4">
                  <c:v>88</c:v>
                </c:pt>
                <c:pt idx="5">
                  <c:v>210</c:v>
                </c:pt>
                <c:pt idx="6">
                  <c:v>568</c:v>
                </c:pt>
                <c:pt idx="7">
                  <c:v>2719</c:v>
                </c:pt>
                <c:pt idx="8">
                  <c:v>3230.5</c:v>
                </c:pt>
                <c:pt idx="9">
                  <c:v>3236</c:v>
                </c:pt>
                <c:pt idx="10">
                  <c:v>3749</c:v>
                </c:pt>
                <c:pt idx="11">
                  <c:v>4262</c:v>
                </c:pt>
                <c:pt idx="12">
                  <c:v>4919</c:v>
                </c:pt>
                <c:pt idx="13">
                  <c:v>8420</c:v>
                </c:pt>
                <c:pt idx="14">
                  <c:v>8422</c:v>
                </c:pt>
                <c:pt idx="15">
                  <c:v>8659</c:v>
                </c:pt>
                <c:pt idx="16">
                  <c:v>8749</c:v>
                </c:pt>
                <c:pt idx="17">
                  <c:v>8863</c:v>
                </c:pt>
                <c:pt idx="18">
                  <c:v>9001</c:v>
                </c:pt>
                <c:pt idx="19">
                  <c:v>9011</c:v>
                </c:pt>
                <c:pt idx="20">
                  <c:v>14305</c:v>
                </c:pt>
                <c:pt idx="21">
                  <c:v>14832</c:v>
                </c:pt>
                <c:pt idx="22">
                  <c:v>16474</c:v>
                </c:pt>
                <c:pt idx="23">
                  <c:v>16511</c:v>
                </c:pt>
                <c:pt idx="24">
                  <c:v>16511</c:v>
                </c:pt>
                <c:pt idx="25">
                  <c:v>17712</c:v>
                </c:pt>
                <c:pt idx="26">
                  <c:v>18956</c:v>
                </c:pt>
                <c:pt idx="27">
                  <c:v>19199</c:v>
                </c:pt>
                <c:pt idx="28">
                  <c:v>19238</c:v>
                </c:pt>
                <c:pt idx="29">
                  <c:v>19240</c:v>
                </c:pt>
                <c:pt idx="30">
                  <c:v>21154</c:v>
                </c:pt>
                <c:pt idx="31">
                  <c:v>21642</c:v>
                </c:pt>
                <c:pt idx="32">
                  <c:v>22936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-1.6787662205619627E-3</c:v>
                </c:pt>
                <c:pt idx="1">
                  <c:v>-1.6787662205619627E-3</c:v>
                </c:pt>
                <c:pt idx="2">
                  <c:v>-1.596861651530079E-3</c:v>
                </c:pt>
                <c:pt idx="3">
                  <c:v>-1.5924343775283556E-3</c:v>
                </c:pt>
                <c:pt idx="4">
                  <c:v>-1.4839661644861311E-3</c:v>
                </c:pt>
                <c:pt idx="5">
                  <c:v>-1.2139024503810009E-3</c:v>
                </c:pt>
                <c:pt idx="6">
                  <c:v>-4.214204040725038E-4</c:v>
                </c:pt>
                <c:pt idx="7">
                  <c:v>4.3401127847810632E-3</c:v>
                </c:pt>
                <c:pt idx="8">
                  <c:v>5.4723881107218344E-3</c:v>
                </c:pt>
                <c:pt idx="9">
                  <c:v>5.484563114226574E-3</c:v>
                </c:pt>
                <c:pt idx="10">
                  <c:v>6.6201588956686375E-3</c:v>
                </c:pt>
                <c:pt idx="11">
                  <c:v>7.7557546771107027E-3</c:v>
                </c:pt>
                <c:pt idx="12">
                  <c:v>9.2101141866768547E-3</c:v>
                </c:pt>
                <c:pt idx="13">
                  <c:v>1.6960057326693749E-2</c:v>
                </c:pt>
                <c:pt idx="14">
                  <c:v>1.6964484600695471E-2</c:v>
                </c:pt>
                <c:pt idx="15">
                  <c:v>1.7489116569899699E-2</c:v>
                </c:pt>
                <c:pt idx="16">
                  <c:v>1.7688343899977255E-2</c:v>
                </c:pt>
                <c:pt idx="17">
                  <c:v>1.794069851807549E-2</c:v>
                </c:pt>
                <c:pt idx="18">
                  <c:v>1.8246180424194409E-2</c:v>
                </c:pt>
                <c:pt idx="19">
                  <c:v>1.8268316794203026E-2</c:v>
                </c:pt>
                <c:pt idx="20">
                  <c:v>2.9987311076764986E-2</c:v>
                </c:pt>
                <c:pt idx="21">
                  <c:v>3.1153897776219117E-2</c:v>
                </c:pt>
                <c:pt idx="22">
                  <c:v>3.4788689731634063E-2</c:v>
                </c:pt>
                <c:pt idx="23">
                  <c:v>3.4870594300665948E-2</c:v>
                </c:pt>
                <c:pt idx="24">
                  <c:v>3.4870594300665948E-2</c:v>
                </c:pt>
                <c:pt idx="25">
                  <c:v>3.7529172338700879E-2</c:v>
                </c:pt>
                <c:pt idx="26">
                  <c:v>4.0282936767772864E-2</c:v>
                </c:pt>
                <c:pt idx="27">
                  <c:v>4.0820850558982262E-2</c:v>
                </c:pt>
                <c:pt idx="28">
                  <c:v>4.0907182402015872E-2</c:v>
                </c:pt>
                <c:pt idx="29">
                  <c:v>4.0911609676017591E-2</c:v>
                </c:pt>
                <c:pt idx="30">
                  <c:v>4.5148510895666932E-2</c:v>
                </c:pt>
                <c:pt idx="31">
                  <c:v>4.6228765752087453E-2</c:v>
                </c:pt>
                <c:pt idx="32">
                  <c:v>4.9093212031202524E-2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F4-4DB6-8A5A-7A0E454A3AE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Active!$F$21:$F$299</c:f>
              <c:numCache>
                <c:formatCode>General</c:formatCode>
                <c:ptCount val="279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39</c:v>
                </c:pt>
                <c:pt idx="4">
                  <c:v>88</c:v>
                </c:pt>
                <c:pt idx="5">
                  <c:v>210</c:v>
                </c:pt>
                <c:pt idx="6">
                  <c:v>568</c:v>
                </c:pt>
                <c:pt idx="7">
                  <c:v>2719</c:v>
                </c:pt>
                <c:pt idx="8">
                  <c:v>3230.5</c:v>
                </c:pt>
                <c:pt idx="9">
                  <c:v>3236</c:v>
                </c:pt>
                <c:pt idx="10">
                  <c:v>3749</c:v>
                </c:pt>
                <c:pt idx="11">
                  <c:v>4262</c:v>
                </c:pt>
                <c:pt idx="12">
                  <c:v>4919</c:v>
                </c:pt>
                <c:pt idx="13">
                  <c:v>8420</c:v>
                </c:pt>
                <c:pt idx="14">
                  <c:v>8422</c:v>
                </c:pt>
                <c:pt idx="15">
                  <c:v>8659</c:v>
                </c:pt>
                <c:pt idx="16">
                  <c:v>8749</c:v>
                </c:pt>
                <c:pt idx="17">
                  <c:v>8863</c:v>
                </c:pt>
                <c:pt idx="18">
                  <c:v>9001</c:v>
                </c:pt>
                <c:pt idx="19">
                  <c:v>9011</c:v>
                </c:pt>
                <c:pt idx="20">
                  <c:v>14305</c:v>
                </c:pt>
                <c:pt idx="21">
                  <c:v>14832</c:v>
                </c:pt>
                <c:pt idx="22">
                  <c:v>16474</c:v>
                </c:pt>
                <c:pt idx="23">
                  <c:v>16511</c:v>
                </c:pt>
                <c:pt idx="24">
                  <c:v>16511</c:v>
                </c:pt>
                <c:pt idx="25">
                  <c:v>17712</c:v>
                </c:pt>
                <c:pt idx="26">
                  <c:v>18956</c:v>
                </c:pt>
                <c:pt idx="27">
                  <c:v>19199</c:v>
                </c:pt>
                <c:pt idx="28">
                  <c:v>19238</c:v>
                </c:pt>
                <c:pt idx="29">
                  <c:v>19240</c:v>
                </c:pt>
                <c:pt idx="30">
                  <c:v>21154</c:v>
                </c:pt>
                <c:pt idx="31">
                  <c:v>21642</c:v>
                </c:pt>
                <c:pt idx="32">
                  <c:v>22936</c:v>
                </c:pt>
              </c:numCache>
            </c:numRef>
          </c:xVal>
          <c:yVal>
            <c:numRef>
              <c:f>Active!$U$21:$U$299</c:f>
              <c:numCache>
                <c:formatCode>General</c:formatCode>
                <c:ptCount val="2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F4-4DB6-8A5A-7A0E454A3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972056"/>
        <c:axId val="1"/>
      </c:scatterChart>
      <c:valAx>
        <c:axId val="636972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401993462474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79754601226995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6972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5154984461298"/>
          <c:y val="0.92024539877300615"/>
          <c:w val="0.7377305444181441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16</xdr:col>
      <xdr:colOff>647700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231AF48-589F-6B27-EEED-B06FFEE4A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bav-astro.de/sfs/BAVM_link.php?BAVMnr=183" TargetMode="External"/><Relationship Id="rId4" Type="http://schemas.openxmlformats.org/officeDocument/2006/relationships/hyperlink" Target="http://var.astro.cz/oejv/issues/oejv00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tabSelected="1" workbookViewId="0">
      <pane xSplit="13" ySplit="21" topLeftCell="N37" activePane="bottomRight" state="frozen"/>
      <selection pane="topRight" activeCell="N1" sqref="N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7.42578125" customWidth="1"/>
    <col min="2" max="2" width="5.140625" style="4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x14ac:dyDescent="0.2">
      <c r="A2" t="s">
        <v>26</v>
      </c>
      <c r="B2" s="47" t="s">
        <v>45</v>
      </c>
    </row>
    <row r="3" spans="1:6" ht="13.5" thickBot="1" x14ac:dyDescent="0.25">
      <c r="D3" s="17"/>
    </row>
    <row r="4" spans="1:6" ht="14.25" thickTop="1" thickBot="1" x14ac:dyDescent="0.25">
      <c r="A4" s="6" t="s">
        <v>2</v>
      </c>
      <c r="C4" s="2">
        <v>25807.52</v>
      </c>
      <c r="D4" s="3">
        <v>1.4854849999999999</v>
      </c>
    </row>
    <row r="5" spans="1:6" ht="13.5" thickTop="1" x14ac:dyDescent="0.2">
      <c r="A5" s="12" t="s">
        <v>36</v>
      </c>
      <c r="B5" s="48"/>
      <c r="C5" s="14">
        <v>-9.5</v>
      </c>
      <c r="D5" s="13" t="s">
        <v>37</v>
      </c>
    </row>
    <row r="6" spans="1:6" x14ac:dyDescent="0.2">
      <c r="A6" s="6" t="s">
        <v>3</v>
      </c>
    </row>
    <row r="7" spans="1:6" x14ac:dyDescent="0.2">
      <c r="A7" t="s">
        <v>4</v>
      </c>
      <c r="C7">
        <f>+C4</f>
        <v>25807.52</v>
      </c>
    </row>
    <row r="8" spans="1:6" x14ac:dyDescent="0.2">
      <c r="A8" t="s">
        <v>5</v>
      </c>
      <c r="C8">
        <f>+D4</f>
        <v>1.4854849999999999</v>
      </c>
    </row>
    <row r="9" spans="1:6" x14ac:dyDescent="0.2">
      <c r="A9" s="27" t="s">
        <v>42</v>
      </c>
      <c r="B9" s="28">
        <v>21</v>
      </c>
      <c r="C9" s="16" t="str">
        <f>"F"&amp;B9</f>
        <v>F21</v>
      </c>
      <c r="D9" s="17" t="str">
        <f>"G"&amp;B9</f>
        <v>G21</v>
      </c>
    </row>
    <row r="10" spans="1:6" ht="13.5" thickBot="1" x14ac:dyDescent="0.25">
      <c r="A10" s="13"/>
      <c r="B10" s="48"/>
      <c r="C10" s="5" t="s">
        <v>22</v>
      </c>
      <c r="D10" s="5" t="s">
        <v>23</v>
      </c>
      <c r="E10" s="13"/>
    </row>
    <row r="11" spans="1:6" x14ac:dyDescent="0.2">
      <c r="A11" s="13" t="s">
        <v>18</v>
      </c>
      <c r="B11" s="48"/>
      <c r="C11" s="15">
        <f ca="1">INTERCEPT(INDIRECT($D$9):G991,INDIRECT($C$9):F991)</f>
        <v>-1.6787662205619627E-3</v>
      </c>
      <c r="D11" s="4"/>
      <c r="E11" s="13"/>
    </row>
    <row r="12" spans="1:6" x14ac:dyDescent="0.2">
      <c r="A12" s="13" t="s">
        <v>19</v>
      </c>
      <c r="B12" s="48"/>
      <c r="C12" s="15">
        <f ca="1">SLOPE(INDIRECT($D$9):G991,INDIRECT($C$9):F991)</f>
        <v>2.2136370008617233E-6</v>
      </c>
      <c r="D12" s="4"/>
      <c r="E12" s="13"/>
    </row>
    <row r="13" spans="1:6" x14ac:dyDescent="0.2">
      <c r="A13" s="13" t="s">
        <v>21</v>
      </c>
      <c r="B13" s="48"/>
      <c r="C13" s="4" t="s">
        <v>16</v>
      </c>
    </row>
    <row r="14" spans="1:6" x14ac:dyDescent="0.2">
      <c r="A14" s="13"/>
      <c r="B14" s="48"/>
      <c r="C14" s="13"/>
    </row>
    <row r="15" spans="1:6" x14ac:dyDescent="0.2">
      <c r="A15" s="18" t="s">
        <v>20</v>
      </c>
      <c r="B15" s="48"/>
      <c r="C15" s="19">
        <f ca="1">(C7+C11)+(C8+C12)*INT(MAX(F21:F3532))</f>
        <v>59878.65305321203</v>
      </c>
      <c r="E15" s="20" t="s">
        <v>47</v>
      </c>
      <c r="F15" s="14">
        <v>1</v>
      </c>
    </row>
    <row r="16" spans="1:6" x14ac:dyDescent="0.2">
      <c r="A16" s="22" t="s">
        <v>6</v>
      </c>
      <c r="B16" s="48"/>
      <c r="C16" s="23">
        <f ca="1">+C8+C12</f>
        <v>1.4854872136370008</v>
      </c>
      <c r="E16" s="20" t="s">
        <v>38</v>
      </c>
      <c r="F16" s="21">
        <f ca="1">NOW()+15018.5+$C$5/24</f>
        <v>60162.8595943287</v>
      </c>
    </row>
    <row r="17" spans="1:21" ht="13.5" thickBot="1" x14ac:dyDescent="0.25">
      <c r="A17" s="20" t="s">
        <v>40</v>
      </c>
      <c r="B17" s="48"/>
      <c r="C17" s="13">
        <f>COUNT(C21:C2190)</f>
        <v>33</v>
      </c>
      <c r="E17" s="20" t="s">
        <v>48</v>
      </c>
      <c r="F17" s="21">
        <f ca="1">ROUND(2*(F16-$C$7)/$C$8,0)/2+F15</f>
        <v>23128.5</v>
      </c>
    </row>
    <row r="18" spans="1:21" ht="14.25" thickTop="1" thickBot="1" x14ac:dyDescent="0.25">
      <c r="A18" s="22" t="s">
        <v>7</v>
      </c>
      <c r="B18" s="48"/>
      <c r="C18" s="25">
        <f ca="1">+C15</f>
        <v>59878.65305321203</v>
      </c>
      <c r="D18" s="26">
        <f ca="1">+C16</f>
        <v>1.4854872136370008</v>
      </c>
      <c r="E18" s="20" t="s">
        <v>39</v>
      </c>
      <c r="F18" s="17">
        <f ca="1">ROUND(2*(F16-$C$15)/$C$16,0)/2+F15</f>
        <v>192.5</v>
      </c>
    </row>
    <row r="19" spans="1:21" ht="13.5" thickTop="1" x14ac:dyDescent="0.2">
      <c r="E19" s="20" t="s">
        <v>41</v>
      </c>
      <c r="F19" s="24">
        <f ca="1">+$C$15+$C$16*F18-15018.5-$C$5/24</f>
        <v>45146.505175170489</v>
      </c>
    </row>
    <row r="20" spans="1:21" ht="13.5" thickBot="1" x14ac:dyDescent="0.25">
      <c r="A20" s="5" t="s">
        <v>8</v>
      </c>
      <c r="B20" s="5" t="s">
        <v>9</v>
      </c>
      <c r="C20" s="5" t="s">
        <v>10</v>
      </c>
      <c r="D20" s="5" t="s">
        <v>15</v>
      </c>
      <c r="E20" s="5" t="s">
        <v>11</v>
      </c>
      <c r="F20" s="5" t="s">
        <v>12</v>
      </c>
      <c r="G20" s="5" t="s">
        <v>13</v>
      </c>
      <c r="H20" s="8" t="s">
        <v>57</v>
      </c>
      <c r="I20" s="8" t="s">
        <v>60</v>
      </c>
      <c r="J20" s="8" t="s">
        <v>54</v>
      </c>
      <c r="K20" s="8" t="s">
        <v>52</v>
      </c>
      <c r="L20" s="8" t="s">
        <v>27</v>
      </c>
      <c r="M20" s="8" t="s">
        <v>28</v>
      </c>
      <c r="N20" s="8" t="s">
        <v>29</v>
      </c>
      <c r="O20" s="8" t="s">
        <v>25</v>
      </c>
      <c r="P20" s="7" t="s">
        <v>24</v>
      </c>
      <c r="Q20" s="5" t="s">
        <v>17</v>
      </c>
      <c r="U20" s="50" t="s">
        <v>173</v>
      </c>
    </row>
    <row r="21" spans="1:21" s="9" customFormat="1" ht="12.75" customHeight="1" x14ac:dyDescent="0.2">
      <c r="A21" s="46" t="s">
        <v>68</v>
      </c>
      <c r="B21" s="49" t="s">
        <v>44</v>
      </c>
      <c r="C21" s="46">
        <v>25807.505000000001</v>
      </c>
      <c r="D21" s="46" t="s">
        <v>60</v>
      </c>
      <c r="E21" s="9">
        <f t="shared" ref="E21:E50" si="0">+(C21-C$7)/C$8</f>
        <v>-1.0097712194615175E-2</v>
      </c>
      <c r="F21" s="9">
        <f t="shared" ref="F21:F51" si="1">ROUND(2*E21,0)/2</f>
        <v>0</v>
      </c>
      <c r="G21" s="9">
        <f t="shared" ref="G21:G50" si="2">+C21-(C$7+F21*C$8)</f>
        <v>-1.4999999999417923E-2</v>
      </c>
      <c r="I21" s="9">
        <f>+G21</f>
        <v>-1.4999999999417923E-2</v>
      </c>
      <c r="O21" s="9">
        <f t="shared" ref="O21:O50" ca="1" si="3">+C$11+C$12*$F21</f>
        <v>-1.6787662205619627E-3</v>
      </c>
      <c r="Q21" s="11">
        <f t="shared" ref="Q21:Q50" si="4">+C21-15018.5</f>
        <v>10789.005000000001</v>
      </c>
    </row>
    <row r="22" spans="1:21" s="9" customFormat="1" ht="12.75" customHeight="1" x14ac:dyDescent="0.2">
      <c r="A22" s="9" t="s">
        <v>14</v>
      </c>
      <c r="B22" s="10"/>
      <c r="C22" s="29">
        <v>25807.52</v>
      </c>
      <c r="D22" s="29" t="s">
        <v>16</v>
      </c>
      <c r="E22" s="9">
        <f t="shared" si="0"/>
        <v>0</v>
      </c>
      <c r="F22" s="9">
        <f t="shared" si="1"/>
        <v>0</v>
      </c>
      <c r="G22" s="9">
        <f t="shared" si="2"/>
        <v>0</v>
      </c>
      <c r="H22" s="9">
        <f>+G22</f>
        <v>0</v>
      </c>
      <c r="O22" s="9">
        <f t="shared" ca="1" si="3"/>
        <v>-1.6787662205619627E-3</v>
      </c>
      <c r="Q22" s="11">
        <f t="shared" si="4"/>
        <v>10789.02</v>
      </c>
    </row>
    <row r="23" spans="1:21" s="9" customFormat="1" ht="12.75" customHeight="1" x14ac:dyDescent="0.2">
      <c r="A23" s="46" t="s">
        <v>68</v>
      </c>
      <c r="B23" s="49" t="s">
        <v>44</v>
      </c>
      <c r="C23" s="46">
        <v>25862.451000000001</v>
      </c>
      <c r="D23" s="46" t="s">
        <v>60</v>
      </c>
      <c r="E23" s="9">
        <f t="shared" si="0"/>
        <v>36.978495238929035</v>
      </c>
      <c r="F23" s="9">
        <f t="shared" si="1"/>
        <v>37</v>
      </c>
      <c r="G23" s="9">
        <f t="shared" si="2"/>
        <v>-3.1944999998813728E-2</v>
      </c>
      <c r="I23" s="9">
        <f t="shared" ref="I23:I44" si="5">+G23</f>
        <v>-3.1944999998813728E-2</v>
      </c>
      <c r="O23" s="9">
        <f t="shared" ca="1" si="3"/>
        <v>-1.596861651530079E-3</v>
      </c>
      <c r="Q23" s="11">
        <f t="shared" si="4"/>
        <v>10843.951000000001</v>
      </c>
    </row>
    <row r="24" spans="1:21" s="9" customFormat="1" ht="12.75" customHeight="1" x14ac:dyDescent="0.2">
      <c r="A24" s="46" t="s">
        <v>68</v>
      </c>
      <c r="B24" s="49" t="s">
        <v>44</v>
      </c>
      <c r="C24" s="46">
        <v>25865.458999999999</v>
      </c>
      <c r="D24" s="46" t="s">
        <v>60</v>
      </c>
      <c r="E24" s="9">
        <f t="shared" si="0"/>
        <v>39.003423124433091</v>
      </c>
      <c r="F24" s="9">
        <f t="shared" si="1"/>
        <v>39</v>
      </c>
      <c r="G24" s="9">
        <f t="shared" si="2"/>
        <v>5.0849999970523641E-3</v>
      </c>
      <c r="I24" s="9">
        <f t="shared" si="5"/>
        <v>5.0849999970523641E-3</v>
      </c>
      <c r="O24" s="9">
        <f t="shared" ca="1" si="3"/>
        <v>-1.5924343775283556E-3</v>
      </c>
      <c r="Q24" s="11">
        <f t="shared" si="4"/>
        <v>10846.958999999999</v>
      </c>
    </row>
    <row r="25" spans="1:21" s="9" customFormat="1" ht="12.75" customHeight="1" x14ac:dyDescent="0.2">
      <c r="A25" s="46" t="s">
        <v>68</v>
      </c>
      <c r="B25" s="49" t="s">
        <v>44</v>
      </c>
      <c r="C25" s="46">
        <v>25938.249</v>
      </c>
      <c r="D25" s="46" t="s">
        <v>60</v>
      </c>
      <c r="E25" s="9">
        <f t="shared" si="0"/>
        <v>88.004254502737737</v>
      </c>
      <c r="F25" s="9">
        <f t="shared" si="1"/>
        <v>88</v>
      </c>
      <c r="G25" s="9">
        <f t="shared" si="2"/>
        <v>6.3200000004144385E-3</v>
      </c>
      <c r="I25" s="9">
        <f t="shared" si="5"/>
        <v>6.3200000004144385E-3</v>
      </c>
      <c r="O25" s="9">
        <f t="shared" ca="1" si="3"/>
        <v>-1.4839661644861311E-3</v>
      </c>
      <c r="Q25" s="11">
        <f t="shared" si="4"/>
        <v>10919.749</v>
      </c>
    </row>
    <row r="26" spans="1:21" s="9" customFormat="1" ht="12.75" customHeight="1" x14ac:dyDescent="0.2">
      <c r="A26" s="46" t="s">
        <v>68</v>
      </c>
      <c r="B26" s="49" t="s">
        <v>44</v>
      </c>
      <c r="C26" s="46">
        <v>26119.512999999999</v>
      </c>
      <c r="D26" s="46" t="s">
        <v>60</v>
      </c>
      <c r="E26" s="9">
        <f t="shared" si="0"/>
        <v>210.02770139045401</v>
      </c>
      <c r="F26" s="9">
        <f t="shared" si="1"/>
        <v>210</v>
      </c>
      <c r="G26" s="9">
        <f t="shared" si="2"/>
        <v>4.1149999997287523E-2</v>
      </c>
      <c r="I26" s="9">
        <f t="shared" si="5"/>
        <v>4.1149999997287523E-2</v>
      </c>
      <c r="O26" s="9">
        <f t="shared" ca="1" si="3"/>
        <v>-1.2139024503810009E-3</v>
      </c>
      <c r="Q26" s="11">
        <f t="shared" si="4"/>
        <v>11101.012999999999</v>
      </c>
    </row>
    <row r="27" spans="1:21" s="9" customFormat="1" ht="12.75" customHeight="1" x14ac:dyDescent="0.2">
      <c r="A27" s="46" t="s">
        <v>68</v>
      </c>
      <c r="B27" s="49" t="s">
        <v>44</v>
      </c>
      <c r="C27" s="46">
        <v>26651.296999999999</v>
      </c>
      <c r="D27" s="46" t="s">
        <v>60</v>
      </c>
      <c r="E27" s="9">
        <f t="shared" si="0"/>
        <v>568.0144868510946</v>
      </c>
      <c r="F27" s="9">
        <f t="shared" si="1"/>
        <v>568</v>
      </c>
      <c r="G27" s="9">
        <f t="shared" si="2"/>
        <v>2.1519999998417916E-2</v>
      </c>
      <c r="I27" s="9">
        <f t="shared" si="5"/>
        <v>2.1519999998417916E-2</v>
      </c>
      <c r="O27" s="9">
        <f t="shared" ca="1" si="3"/>
        <v>-4.214204040725038E-4</v>
      </c>
      <c r="Q27" s="11">
        <f t="shared" si="4"/>
        <v>11632.796999999999</v>
      </c>
    </row>
    <row r="28" spans="1:21" s="9" customFormat="1" ht="12.75" customHeight="1" x14ac:dyDescent="0.2">
      <c r="A28" s="46" t="s">
        <v>87</v>
      </c>
      <c r="B28" s="49" t="s">
        <v>44</v>
      </c>
      <c r="C28" s="46">
        <v>29846.550999999999</v>
      </c>
      <c r="D28" s="46" t="s">
        <v>60</v>
      </c>
      <c r="E28" s="9">
        <f t="shared" si="0"/>
        <v>2718.9981723140922</v>
      </c>
      <c r="F28" s="9">
        <f t="shared" si="1"/>
        <v>2719</v>
      </c>
      <c r="G28" s="9">
        <f t="shared" si="2"/>
        <v>-2.7150000023539178E-3</v>
      </c>
      <c r="I28" s="9">
        <f t="shared" si="5"/>
        <v>-2.7150000023539178E-3</v>
      </c>
      <c r="O28" s="9">
        <f t="shared" ca="1" si="3"/>
        <v>4.3401127847810632E-3</v>
      </c>
      <c r="Q28" s="11">
        <f t="shared" si="4"/>
        <v>14828.050999999999</v>
      </c>
    </row>
    <row r="29" spans="1:21" s="9" customFormat="1" ht="12.75" customHeight="1" x14ac:dyDescent="0.2">
      <c r="A29" s="46" t="s">
        <v>87</v>
      </c>
      <c r="B29" s="49" t="s">
        <v>172</v>
      </c>
      <c r="C29" s="46">
        <v>30606.366999999998</v>
      </c>
      <c r="D29" s="46" t="s">
        <v>60</v>
      </c>
      <c r="E29" s="9">
        <f t="shared" si="0"/>
        <v>3230.4917249248551</v>
      </c>
      <c r="F29" s="9">
        <f t="shared" si="1"/>
        <v>3230.5</v>
      </c>
      <c r="G29" s="9">
        <f t="shared" si="2"/>
        <v>-1.2292500003241003E-2</v>
      </c>
      <c r="I29" s="9">
        <f t="shared" si="5"/>
        <v>-1.2292500003241003E-2</v>
      </c>
      <c r="O29" s="9">
        <f t="shared" ca="1" si="3"/>
        <v>5.4723881107218344E-3</v>
      </c>
      <c r="Q29" s="11">
        <f t="shared" si="4"/>
        <v>15587.866999999998</v>
      </c>
    </row>
    <row r="30" spans="1:21" x14ac:dyDescent="0.2">
      <c r="A30" s="46" t="s">
        <v>87</v>
      </c>
      <c r="B30" s="49" t="s">
        <v>44</v>
      </c>
      <c r="C30" s="46">
        <v>30614.54</v>
      </c>
      <c r="D30" s="46" t="s">
        <v>60</v>
      </c>
      <c r="E30" s="9">
        <f t="shared" si="0"/>
        <v>3235.9936317095094</v>
      </c>
      <c r="F30" s="9">
        <f t="shared" si="1"/>
        <v>3236</v>
      </c>
      <c r="G30" s="9">
        <f t="shared" si="2"/>
        <v>-9.4600000011269003E-3</v>
      </c>
      <c r="H30" s="9"/>
      <c r="I30" s="9">
        <f t="shared" si="5"/>
        <v>-9.4600000011269003E-3</v>
      </c>
      <c r="J30" s="9"/>
      <c r="K30" s="9"/>
      <c r="L30" s="9"/>
      <c r="M30" s="9"/>
      <c r="N30" s="9"/>
      <c r="O30" s="9">
        <f t="shared" ca="1" si="3"/>
        <v>5.484563114226574E-3</v>
      </c>
      <c r="P30" s="9"/>
      <c r="Q30" s="11">
        <f t="shared" si="4"/>
        <v>15596.04</v>
      </c>
    </row>
    <row r="31" spans="1:21" x14ac:dyDescent="0.2">
      <c r="A31" s="46" t="s">
        <v>98</v>
      </c>
      <c r="B31" s="49" t="s">
        <v>44</v>
      </c>
      <c r="C31" s="46">
        <v>31376.582999999999</v>
      </c>
      <c r="D31" s="46" t="s">
        <v>60</v>
      </c>
      <c r="E31" s="9">
        <f t="shared" si="0"/>
        <v>3748.9863579908233</v>
      </c>
      <c r="F31" s="9">
        <f t="shared" si="1"/>
        <v>3749</v>
      </c>
      <c r="G31" s="9">
        <f t="shared" si="2"/>
        <v>-2.0265000002837041E-2</v>
      </c>
      <c r="H31" s="9"/>
      <c r="I31" s="9">
        <f t="shared" si="5"/>
        <v>-2.0265000002837041E-2</v>
      </c>
      <c r="J31" s="9"/>
      <c r="K31" s="9"/>
      <c r="L31" s="9"/>
      <c r="M31" s="9"/>
      <c r="N31" s="9"/>
      <c r="O31" s="9">
        <f t="shared" ca="1" si="3"/>
        <v>6.6201588956686375E-3</v>
      </c>
      <c r="P31" s="9"/>
      <c r="Q31" s="11">
        <f t="shared" si="4"/>
        <v>16358.082999999999</v>
      </c>
    </row>
    <row r="32" spans="1:21" x14ac:dyDescent="0.2">
      <c r="A32" s="46" t="s">
        <v>98</v>
      </c>
      <c r="B32" s="49" t="s">
        <v>44</v>
      </c>
      <c r="C32" s="46">
        <v>32138.65</v>
      </c>
      <c r="D32" s="46" t="s">
        <v>60</v>
      </c>
      <c r="E32" s="9">
        <f t="shared" si="0"/>
        <v>4261.9952406116527</v>
      </c>
      <c r="F32" s="9">
        <f t="shared" si="1"/>
        <v>4262</v>
      </c>
      <c r="G32" s="9">
        <f t="shared" si="2"/>
        <v>-7.069999999657739E-3</v>
      </c>
      <c r="H32" s="9"/>
      <c r="I32" s="9">
        <f t="shared" si="5"/>
        <v>-7.069999999657739E-3</v>
      </c>
      <c r="J32" s="9"/>
      <c r="K32" s="9"/>
      <c r="L32" s="9"/>
      <c r="M32" s="9"/>
      <c r="N32" s="9"/>
      <c r="O32" s="9">
        <f t="shared" ca="1" si="3"/>
        <v>7.7557546771107027E-3</v>
      </c>
      <c r="P32" s="9"/>
      <c r="Q32" s="11">
        <f t="shared" si="4"/>
        <v>17120.150000000001</v>
      </c>
    </row>
    <row r="33" spans="1:31" x14ac:dyDescent="0.2">
      <c r="A33" s="46" t="s">
        <v>98</v>
      </c>
      <c r="B33" s="49" t="s">
        <v>44</v>
      </c>
      <c r="C33" s="46">
        <v>33114.642999999996</v>
      </c>
      <c r="D33" s="46" t="s">
        <v>60</v>
      </c>
      <c r="E33" s="9">
        <f t="shared" si="0"/>
        <v>4919.0150018344148</v>
      </c>
      <c r="F33" s="9">
        <f t="shared" si="1"/>
        <v>4919</v>
      </c>
      <c r="G33" s="9">
        <f t="shared" si="2"/>
        <v>2.2284999999101274E-2</v>
      </c>
      <c r="H33" s="9"/>
      <c r="I33" s="9">
        <f t="shared" si="5"/>
        <v>2.2284999999101274E-2</v>
      </c>
      <c r="J33" s="9"/>
      <c r="K33" s="9"/>
      <c r="L33" s="9"/>
      <c r="M33" s="9"/>
      <c r="N33" s="9"/>
      <c r="O33" s="9">
        <f t="shared" ca="1" si="3"/>
        <v>9.2101141866768547E-3</v>
      </c>
      <c r="P33" s="9"/>
      <c r="Q33" s="11">
        <f t="shared" si="4"/>
        <v>18096.142999999996</v>
      </c>
    </row>
    <row r="34" spans="1:31" x14ac:dyDescent="0.2">
      <c r="A34" s="46" t="s">
        <v>87</v>
      </c>
      <c r="B34" s="49" t="s">
        <v>44</v>
      </c>
      <c r="C34" s="46">
        <v>38315.286999999997</v>
      </c>
      <c r="D34" s="46" t="s">
        <v>60</v>
      </c>
      <c r="E34" s="9">
        <f t="shared" si="0"/>
        <v>8419.988757880421</v>
      </c>
      <c r="F34" s="9">
        <f t="shared" si="1"/>
        <v>8420</v>
      </c>
      <c r="G34" s="9">
        <f t="shared" si="2"/>
        <v>-1.6700000007404014E-2</v>
      </c>
      <c r="H34" s="9"/>
      <c r="I34" s="9">
        <f t="shared" si="5"/>
        <v>-1.6700000007404014E-2</v>
      </c>
      <c r="J34" s="9"/>
      <c r="K34" s="9"/>
      <c r="L34" s="9"/>
      <c r="M34" s="9"/>
      <c r="N34" s="9"/>
      <c r="O34" s="9">
        <f t="shared" ca="1" si="3"/>
        <v>1.6960057326693749E-2</v>
      </c>
      <c r="P34" s="9"/>
      <c r="Q34" s="11">
        <f t="shared" si="4"/>
        <v>23296.786999999997</v>
      </c>
    </row>
    <row r="35" spans="1:31" x14ac:dyDescent="0.2">
      <c r="A35" s="46" t="s">
        <v>87</v>
      </c>
      <c r="B35" s="49" t="s">
        <v>44</v>
      </c>
      <c r="C35" s="46">
        <v>38318.269</v>
      </c>
      <c r="D35" s="46" t="s">
        <v>60</v>
      </c>
      <c r="E35" s="9">
        <f t="shared" si="0"/>
        <v>8421.9961830647899</v>
      </c>
      <c r="F35" s="9">
        <f t="shared" si="1"/>
        <v>8422</v>
      </c>
      <c r="G35" s="9">
        <f t="shared" si="2"/>
        <v>-5.6699999986449257E-3</v>
      </c>
      <c r="H35" s="9"/>
      <c r="I35" s="9">
        <f t="shared" si="5"/>
        <v>-5.6699999986449257E-3</v>
      </c>
      <c r="J35" s="9"/>
      <c r="K35" s="9"/>
      <c r="L35" s="9"/>
      <c r="M35" s="9"/>
      <c r="N35" s="9"/>
      <c r="O35" s="9">
        <f t="shared" ca="1" si="3"/>
        <v>1.6964484600695471E-2</v>
      </c>
      <c r="P35" s="9"/>
      <c r="Q35" s="11">
        <f t="shared" si="4"/>
        <v>23299.769</v>
      </c>
    </row>
    <row r="36" spans="1:31" x14ac:dyDescent="0.2">
      <c r="A36" s="46" t="s">
        <v>87</v>
      </c>
      <c r="B36" s="49" t="s">
        <v>44</v>
      </c>
      <c r="C36" s="46">
        <v>38670.381999999998</v>
      </c>
      <c r="D36" s="46" t="s">
        <v>60</v>
      </c>
      <c r="E36" s="9">
        <f t="shared" si="0"/>
        <v>8659.0318986728234</v>
      </c>
      <c r="F36" s="9">
        <f t="shared" si="1"/>
        <v>8659</v>
      </c>
      <c r="G36" s="9">
        <f t="shared" si="2"/>
        <v>4.7384999998030253E-2</v>
      </c>
      <c r="H36" s="9"/>
      <c r="I36" s="9">
        <f t="shared" si="5"/>
        <v>4.7384999998030253E-2</v>
      </c>
      <c r="J36" s="9"/>
      <c r="K36" s="9"/>
      <c r="L36" s="9"/>
      <c r="M36" s="9"/>
      <c r="N36" s="9"/>
      <c r="O36" s="9">
        <f t="shared" ca="1" si="3"/>
        <v>1.7489116569899699E-2</v>
      </c>
      <c r="P36" s="9"/>
      <c r="Q36" s="11">
        <f t="shared" si="4"/>
        <v>23651.881999999998</v>
      </c>
    </row>
    <row r="37" spans="1:31" x14ac:dyDescent="0.2">
      <c r="A37" s="46" t="s">
        <v>117</v>
      </c>
      <c r="B37" s="49" t="s">
        <v>44</v>
      </c>
      <c r="C37" s="46">
        <v>38804.080999999998</v>
      </c>
      <c r="D37" s="46" t="s">
        <v>60</v>
      </c>
      <c r="E37" s="9">
        <f t="shared" si="0"/>
        <v>8749.0355001901717</v>
      </c>
      <c r="F37" s="9">
        <f t="shared" si="1"/>
        <v>8749</v>
      </c>
      <c r="G37" s="9">
        <f t="shared" si="2"/>
        <v>5.2734999997483101E-2</v>
      </c>
      <c r="H37" s="9"/>
      <c r="I37" s="9">
        <f t="shared" si="5"/>
        <v>5.2734999997483101E-2</v>
      </c>
      <c r="J37" s="9"/>
      <c r="K37" s="9"/>
      <c r="L37" s="9"/>
      <c r="M37" s="9"/>
      <c r="N37" s="9"/>
      <c r="O37" s="9">
        <f t="shared" ca="1" si="3"/>
        <v>1.7688343899977255E-2</v>
      </c>
      <c r="P37" s="9"/>
      <c r="Q37" s="11">
        <f t="shared" si="4"/>
        <v>23785.580999999998</v>
      </c>
    </row>
    <row r="38" spans="1:31" x14ac:dyDescent="0.2">
      <c r="A38" s="46" t="s">
        <v>117</v>
      </c>
      <c r="B38" s="49" t="s">
        <v>44</v>
      </c>
      <c r="C38" s="46">
        <v>38973.400999999998</v>
      </c>
      <c r="D38" s="46" t="s">
        <v>60</v>
      </c>
      <c r="E38" s="9">
        <f t="shared" si="0"/>
        <v>8863.0184754474121</v>
      </c>
      <c r="F38" s="9">
        <f t="shared" si="1"/>
        <v>8863</v>
      </c>
      <c r="G38" s="9">
        <f t="shared" si="2"/>
        <v>2.7444999999715947E-2</v>
      </c>
      <c r="H38" s="9"/>
      <c r="I38" s="9">
        <f t="shared" si="5"/>
        <v>2.7444999999715947E-2</v>
      </c>
      <c r="J38" s="9"/>
      <c r="K38" s="9"/>
      <c r="L38" s="9"/>
      <c r="M38" s="9"/>
      <c r="N38" s="9"/>
      <c r="O38" s="9">
        <f t="shared" ca="1" si="3"/>
        <v>1.794069851807549E-2</v>
      </c>
      <c r="P38" s="9"/>
      <c r="Q38" s="11">
        <f t="shared" si="4"/>
        <v>23954.900999999998</v>
      </c>
    </row>
    <row r="39" spans="1:31" x14ac:dyDescent="0.2">
      <c r="A39" s="46" t="s">
        <v>117</v>
      </c>
      <c r="B39" s="49" t="s">
        <v>44</v>
      </c>
      <c r="C39" s="46">
        <v>39178.438000000002</v>
      </c>
      <c r="D39" s="46" t="s">
        <v>60</v>
      </c>
      <c r="E39" s="9">
        <f t="shared" si="0"/>
        <v>9001.0454498025902</v>
      </c>
      <c r="F39" s="9">
        <f t="shared" si="1"/>
        <v>9001</v>
      </c>
      <c r="G39" s="9">
        <f t="shared" si="2"/>
        <v>6.7515000002458692E-2</v>
      </c>
      <c r="H39" s="9"/>
      <c r="I39" s="9">
        <f t="shared" si="5"/>
        <v>6.7515000002458692E-2</v>
      </c>
      <c r="J39" s="9"/>
      <c r="K39" s="9"/>
      <c r="L39" s="9"/>
      <c r="M39" s="9"/>
      <c r="N39" s="9"/>
      <c r="O39" s="9">
        <f t="shared" ca="1" si="3"/>
        <v>1.8246180424194409E-2</v>
      </c>
      <c r="P39" s="9"/>
      <c r="Q39" s="11">
        <f t="shared" si="4"/>
        <v>24159.938000000002</v>
      </c>
    </row>
    <row r="40" spans="1:31" x14ac:dyDescent="0.2">
      <c r="A40" s="46" t="s">
        <v>117</v>
      </c>
      <c r="B40" s="49" t="s">
        <v>44</v>
      </c>
      <c r="C40" s="46">
        <v>39193.197</v>
      </c>
      <c r="D40" s="46" t="s">
        <v>60</v>
      </c>
      <c r="E40" s="9">
        <f t="shared" si="0"/>
        <v>9010.9809254216634</v>
      </c>
      <c r="F40" s="9">
        <f t="shared" si="1"/>
        <v>9011</v>
      </c>
      <c r="G40" s="9">
        <f t="shared" si="2"/>
        <v>-2.833499999542255E-2</v>
      </c>
      <c r="H40" s="9"/>
      <c r="I40" s="9">
        <f t="shared" si="5"/>
        <v>-2.833499999542255E-2</v>
      </c>
      <c r="J40" s="9"/>
      <c r="K40" s="9"/>
      <c r="L40" s="9"/>
      <c r="M40" s="9"/>
      <c r="N40" s="9"/>
      <c r="O40" s="9">
        <f t="shared" ca="1" si="3"/>
        <v>1.8268316794203026E-2</v>
      </c>
      <c r="P40" s="9"/>
      <c r="Q40" s="11">
        <f t="shared" si="4"/>
        <v>24174.697</v>
      </c>
    </row>
    <row r="41" spans="1:31" s="9" customFormat="1" ht="12.75" customHeight="1" x14ac:dyDescent="0.2">
      <c r="A41" s="9" t="s">
        <v>31</v>
      </c>
      <c r="B41" s="10"/>
      <c r="C41" s="29">
        <v>47057.41</v>
      </c>
      <c r="D41" s="29"/>
      <c r="E41" s="9">
        <f t="shared" si="0"/>
        <v>14305.018226370514</v>
      </c>
      <c r="F41" s="9">
        <f t="shared" si="1"/>
        <v>14305</v>
      </c>
      <c r="G41" s="9">
        <f t="shared" si="2"/>
        <v>2.7075000005424954E-2</v>
      </c>
      <c r="I41" s="9">
        <f t="shared" si="5"/>
        <v>2.7075000005424954E-2</v>
      </c>
      <c r="O41" s="9">
        <f t="shared" ca="1" si="3"/>
        <v>2.9987311076764986E-2</v>
      </c>
      <c r="Q41" s="11">
        <f t="shared" si="4"/>
        <v>32038.910000000003</v>
      </c>
      <c r="AA41" s="9">
        <v>11</v>
      </c>
      <c r="AC41" s="9" t="s">
        <v>30</v>
      </c>
      <c r="AE41" s="9" t="s">
        <v>32</v>
      </c>
    </row>
    <row r="42" spans="1:31" s="9" customFormat="1" ht="12.75" customHeight="1" x14ac:dyDescent="0.2">
      <c r="A42" s="9" t="s">
        <v>33</v>
      </c>
      <c r="B42" s="10"/>
      <c r="C42" s="29">
        <v>47840.29</v>
      </c>
      <c r="D42" s="29"/>
      <c r="E42" s="9">
        <f t="shared" si="0"/>
        <v>14832.03802125232</v>
      </c>
      <c r="F42" s="9">
        <f t="shared" si="1"/>
        <v>14832</v>
      </c>
      <c r="G42" s="9">
        <f t="shared" si="2"/>
        <v>5.6480000006558839E-2</v>
      </c>
      <c r="I42" s="9">
        <f t="shared" si="5"/>
        <v>5.6480000006558839E-2</v>
      </c>
      <c r="O42" s="9">
        <f t="shared" ca="1" si="3"/>
        <v>3.1153897776219117E-2</v>
      </c>
      <c r="Q42" s="11">
        <f t="shared" si="4"/>
        <v>32821.79</v>
      </c>
      <c r="AA42" s="9">
        <v>13</v>
      </c>
      <c r="AC42" s="9" t="s">
        <v>30</v>
      </c>
      <c r="AE42" s="9" t="s">
        <v>32</v>
      </c>
    </row>
    <row r="43" spans="1:31" s="9" customFormat="1" ht="12.75" customHeight="1" x14ac:dyDescent="0.2">
      <c r="A43" s="9" t="s">
        <v>34</v>
      </c>
      <c r="B43" s="10"/>
      <c r="C43" s="29">
        <v>50279.43</v>
      </c>
      <c r="D43" s="29">
        <v>0.01</v>
      </c>
      <c r="E43" s="9">
        <f t="shared" si="0"/>
        <v>16474.02026947428</v>
      </c>
      <c r="F43" s="9">
        <f t="shared" si="1"/>
        <v>16474</v>
      </c>
      <c r="G43" s="9">
        <f t="shared" si="2"/>
        <v>3.0109999999694992E-2</v>
      </c>
      <c r="I43" s="9">
        <f t="shared" si="5"/>
        <v>3.0109999999694992E-2</v>
      </c>
      <c r="O43" s="9">
        <f t="shared" ca="1" si="3"/>
        <v>3.4788689731634063E-2</v>
      </c>
      <c r="Q43" s="11">
        <f t="shared" si="4"/>
        <v>35260.93</v>
      </c>
      <c r="AA43" s="9">
        <v>37</v>
      </c>
      <c r="AC43" s="9" t="s">
        <v>30</v>
      </c>
      <c r="AE43" s="9" t="s">
        <v>32</v>
      </c>
    </row>
    <row r="44" spans="1:31" s="9" customFormat="1" ht="12.75" customHeight="1" x14ac:dyDescent="0.2">
      <c r="A44" s="9" t="s">
        <v>34</v>
      </c>
      <c r="B44" s="10"/>
      <c r="C44" s="29">
        <v>50334.406999999999</v>
      </c>
      <c r="D44" s="29">
        <v>1.1999999999999999E-3</v>
      </c>
      <c r="E44" s="9">
        <f t="shared" si="0"/>
        <v>16511.029731030605</v>
      </c>
      <c r="F44" s="9">
        <f t="shared" si="1"/>
        <v>16511</v>
      </c>
      <c r="G44" s="9">
        <f t="shared" si="2"/>
        <v>4.4164999999338761E-2</v>
      </c>
      <c r="I44" s="9">
        <f t="shared" si="5"/>
        <v>4.4164999999338761E-2</v>
      </c>
      <c r="O44" s="9">
        <f t="shared" ca="1" si="3"/>
        <v>3.4870594300665948E-2</v>
      </c>
      <c r="Q44" s="11">
        <f t="shared" si="4"/>
        <v>35315.906999999999</v>
      </c>
      <c r="AA44" s="9">
        <v>15</v>
      </c>
      <c r="AC44" s="9" t="s">
        <v>35</v>
      </c>
      <c r="AE44" s="9" t="s">
        <v>32</v>
      </c>
    </row>
    <row r="45" spans="1:31" s="61" customFormat="1" ht="12" customHeight="1" x14ac:dyDescent="0.2">
      <c r="A45" s="46" t="s">
        <v>141</v>
      </c>
      <c r="B45" s="49" t="s">
        <v>44</v>
      </c>
      <c r="C45" s="46">
        <v>50334.407500000001</v>
      </c>
      <c r="D45" s="46" t="s">
        <v>60</v>
      </c>
      <c r="E45" s="61">
        <f t="shared" si="0"/>
        <v>16511.030067621014</v>
      </c>
      <c r="F45" s="61">
        <f t="shared" si="1"/>
        <v>16511</v>
      </c>
      <c r="G45" s="61">
        <f t="shared" si="2"/>
        <v>4.4665000001259614E-2</v>
      </c>
      <c r="J45" s="61">
        <f>+G45</f>
        <v>4.4665000001259614E-2</v>
      </c>
      <c r="O45" s="61">
        <f t="shared" ca="1" si="3"/>
        <v>3.4870594300665948E-2</v>
      </c>
      <c r="Q45" s="62">
        <f t="shared" si="4"/>
        <v>35315.907500000001</v>
      </c>
    </row>
    <row r="46" spans="1:31" s="61" customFormat="1" ht="12" customHeight="1" x14ac:dyDescent="0.2">
      <c r="A46" s="46" t="s">
        <v>149</v>
      </c>
      <c r="B46" s="49" t="s">
        <v>44</v>
      </c>
      <c r="C46" s="46">
        <v>52118.47</v>
      </c>
      <c r="D46" s="46" t="s">
        <v>60</v>
      </c>
      <c r="E46" s="61">
        <f t="shared" si="0"/>
        <v>17712.026711814662</v>
      </c>
      <c r="F46" s="61">
        <f t="shared" si="1"/>
        <v>17712</v>
      </c>
      <c r="G46" s="61">
        <f t="shared" si="2"/>
        <v>3.9680000001681037E-2</v>
      </c>
      <c r="I46" s="61">
        <f>+G46</f>
        <v>3.9680000001681037E-2</v>
      </c>
      <c r="O46" s="61">
        <f t="shared" ca="1" si="3"/>
        <v>3.7529172338700879E-2</v>
      </c>
      <c r="Q46" s="62">
        <f t="shared" si="4"/>
        <v>37099.97</v>
      </c>
    </row>
    <row r="47" spans="1:31" s="61" customFormat="1" ht="12" customHeight="1" x14ac:dyDescent="0.2">
      <c r="A47" s="30" t="s">
        <v>49</v>
      </c>
      <c r="B47" s="31" t="s">
        <v>44</v>
      </c>
      <c r="C47" s="30">
        <v>53966.411999999997</v>
      </c>
      <c r="D47" s="30">
        <v>1.4E-3</v>
      </c>
      <c r="E47" s="61">
        <f t="shared" si="0"/>
        <v>18956.025809752369</v>
      </c>
      <c r="F47" s="61">
        <f t="shared" si="1"/>
        <v>18956</v>
      </c>
      <c r="G47" s="61">
        <f t="shared" si="2"/>
        <v>3.8339999999152496E-2</v>
      </c>
      <c r="J47" s="61">
        <f>+G47</f>
        <v>3.8339999999152496E-2</v>
      </c>
      <c r="O47" s="61">
        <f t="shared" ca="1" si="3"/>
        <v>4.0282936767772864E-2</v>
      </c>
      <c r="Q47" s="62">
        <f t="shared" si="4"/>
        <v>38947.911999999997</v>
      </c>
    </row>
    <row r="48" spans="1:31" s="61" customFormat="1" ht="12" customHeight="1" x14ac:dyDescent="0.2">
      <c r="A48" s="46" t="s">
        <v>161</v>
      </c>
      <c r="B48" s="49" t="s">
        <v>44</v>
      </c>
      <c r="C48" s="46">
        <v>54327.383699999998</v>
      </c>
      <c r="D48" s="46" t="s">
        <v>60</v>
      </c>
      <c r="E48" s="61">
        <f t="shared" si="0"/>
        <v>19199.025032228532</v>
      </c>
      <c r="F48" s="61">
        <f t="shared" si="1"/>
        <v>19199</v>
      </c>
      <c r="G48" s="61">
        <f t="shared" si="2"/>
        <v>3.718500000104541E-2</v>
      </c>
      <c r="K48" s="61">
        <f t="shared" ref="K48:K53" si="6">+G48</f>
        <v>3.718500000104541E-2</v>
      </c>
      <c r="O48" s="61">
        <f t="shared" ca="1" si="3"/>
        <v>4.0820850558982262E-2</v>
      </c>
      <c r="Q48" s="62">
        <f t="shared" si="4"/>
        <v>39308.883699999998</v>
      </c>
    </row>
    <row r="49" spans="1:17" s="61" customFormat="1" ht="12" customHeight="1" x14ac:dyDescent="0.2">
      <c r="A49" s="46" t="s">
        <v>161</v>
      </c>
      <c r="B49" s="49" t="s">
        <v>44</v>
      </c>
      <c r="C49" s="46">
        <v>54385.318399999996</v>
      </c>
      <c r="D49" s="46" t="s">
        <v>60</v>
      </c>
      <c r="E49" s="61">
        <f t="shared" si="0"/>
        <v>19238.025560675469</v>
      </c>
      <c r="F49" s="61">
        <f t="shared" si="1"/>
        <v>19238</v>
      </c>
      <c r="G49" s="61">
        <f t="shared" si="2"/>
        <v>3.7969999997585546E-2</v>
      </c>
      <c r="K49" s="61">
        <f t="shared" si="6"/>
        <v>3.7969999997585546E-2</v>
      </c>
      <c r="O49" s="61">
        <f t="shared" ca="1" si="3"/>
        <v>4.0907182402015872E-2</v>
      </c>
      <c r="Q49" s="62">
        <f t="shared" si="4"/>
        <v>39366.818399999996</v>
      </c>
    </row>
    <row r="50" spans="1:17" s="61" customFormat="1" ht="12" customHeight="1" x14ac:dyDescent="0.2">
      <c r="A50" s="51" t="s">
        <v>43</v>
      </c>
      <c r="B50" s="52" t="s">
        <v>44</v>
      </c>
      <c r="C50" s="51">
        <v>54388.296170000001</v>
      </c>
      <c r="D50" s="51">
        <v>1.4E-3</v>
      </c>
      <c r="E50" s="61">
        <f t="shared" si="0"/>
        <v>19240.030138304999</v>
      </c>
      <c r="F50" s="61">
        <f t="shared" si="1"/>
        <v>19240</v>
      </c>
      <c r="G50" s="61">
        <f t="shared" si="2"/>
        <v>4.477000000042608E-2</v>
      </c>
      <c r="K50" s="61">
        <f t="shared" si="6"/>
        <v>4.477000000042608E-2</v>
      </c>
      <c r="O50" s="61">
        <f t="shared" ca="1" si="3"/>
        <v>4.0911609676017591E-2</v>
      </c>
      <c r="Q50" s="62">
        <f t="shared" si="4"/>
        <v>39369.796170000001</v>
      </c>
    </row>
    <row r="51" spans="1:17" s="61" customFormat="1" ht="12" customHeight="1" x14ac:dyDescent="0.2">
      <c r="A51" s="53" t="s">
        <v>0</v>
      </c>
      <c r="B51" s="54" t="s">
        <v>44</v>
      </c>
      <c r="C51" s="55">
        <v>57231.508699999998</v>
      </c>
      <c r="D51" s="55" t="s">
        <v>1</v>
      </c>
      <c r="E51" s="61">
        <f>+(C51-C$7)/C$8</f>
        <v>21154.026260783514</v>
      </c>
      <c r="F51" s="61">
        <f t="shared" si="1"/>
        <v>21154</v>
      </c>
      <c r="G51" s="61">
        <f>+C51-(C$7+F51*C$8)</f>
        <v>3.9010000000416767E-2</v>
      </c>
      <c r="K51" s="61">
        <f t="shared" si="6"/>
        <v>3.9010000000416767E-2</v>
      </c>
      <c r="O51" s="61">
        <f ca="1">+C$11+C$12*$F51</f>
        <v>4.5148510895666932E-2</v>
      </c>
      <c r="Q51" s="62">
        <f>+C51-15018.5</f>
        <v>42213.008699999998</v>
      </c>
    </row>
    <row r="52" spans="1:17" s="61" customFormat="1" ht="12" customHeight="1" x14ac:dyDescent="0.2">
      <c r="A52" s="56" t="s">
        <v>174</v>
      </c>
      <c r="B52" s="57" t="s">
        <v>44</v>
      </c>
      <c r="C52" s="58">
        <v>57956.423560000025</v>
      </c>
      <c r="D52" s="58">
        <v>1.1999999999999999E-3</v>
      </c>
      <c r="E52" s="61">
        <f>+(C52-C$7)/C$8</f>
        <v>21642.025035594452</v>
      </c>
      <c r="F52" s="61">
        <f>ROUND(2*E52,0)/2</f>
        <v>21642</v>
      </c>
      <c r="G52" s="61">
        <f>+C52-(C$7+F52*C$8)</f>
        <v>3.7190000024565961E-2</v>
      </c>
      <c r="K52" s="61">
        <f t="shared" si="6"/>
        <v>3.7190000024565961E-2</v>
      </c>
      <c r="O52" s="61">
        <f ca="1">+C$11+C$12*$F52</f>
        <v>4.6228765752087453E-2</v>
      </c>
      <c r="Q52" s="62">
        <f>+C52-15018.5</f>
        <v>42937.923560000025</v>
      </c>
    </row>
    <row r="53" spans="1:17" s="61" customFormat="1" ht="12" customHeight="1" x14ac:dyDescent="0.2">
      <c r="A53" s="59" t="s">
        <v>175</v>
      </c>
      <c r="B53" s="60" t="s">
        <v>44</v>
      </c>
      <c r="C53" s="63">
        <v>59878.644699999997</v>
      </c>
      <c r="D53" s="64">
        <v>3.8999999999999998E-3</v>
      </c>
      <c r="E53" s="61">
        <f>+(C53-C$7)/C$8</f>
        <v>22936.027425386324</v>
      </c>
      <c r="F53" s="61">
        <f>ROUND(2*E53,0)/2</f>
        <v>22936</v>
      </c>
      <c r="G53" s="61">
        <f>+C53-(C$7+F53*C$8)</f>
        <v>4.0740000004007015E-2</v>
      </c>
      <c r="K53" s="61">
        <f t="shared" si="6"/>
        <v>4.0740000004007015E-2</v>
      </c>
      <c r="O53" s="61">
        <f ca="1">+C$11+C$12*$F53</f>
        <v>4.9093212031202524E-2</v>
      </c>
      <c r="Q53" s="62">
        <f>+C53-15018.5</f>
        <v>44860.144699999997</v>
      </c>
    </row>
    <row r="54" spans="1:17" s="61" customFormat="1" ht="12" customHeight="1" x14ac:dyDescent="0.2">
      <c r="B54" s="65"/>
    </row>
    <row r="55" spans="1:17" s="61" customFormat="1" ht="12" customHeight="1" x14ac:dyDescent="0.2">
      <c r="B55" s="65"/>
    </row>
    <row r="56" spans="1:17" s="61" customFormat="1" ht="12" customHeight="1" x14ac:dyDescent="0.2">
      <c r="B56" s="65"/>
    </row>
    <row r="57" spans="1:17" s="61" customFormat="1" ht="12" customHeight="1" x14ac:dyDescent="0.2">
      <c r="B57" s="65"/>
    </row>
    <row r="58" spans="1:17" s="61" customFormat="1" ht="12" customHeight="1" x14ac:dyDescent="0.2">
      <c r="B58" s="65"/>
    </row>
    <row r="59" spans="1:17" s="61" customFormat="1" ht="12" customHeight="1" x14ac:dyDescent="0.2">
      <c r="B59" s="65"/>
    </row>
    <row r="60" spans="1:17" s="61" customFormat="1" ht="12" customHeight="1" x14ac:dyDescent="0.2">
      <c r="B60" s="65"/>
    </row>
    <row r="61" spans="1:17" s="61" customFormat="1" ht="12" customHeight="1" x14ac:dyDescent="0.2">
      <c r="B61" s="65"/>
    </row>
    <row r="62" spans="1:17" s="61" customFormat="1" ht="12" customHeight="1" x14ac:dyDescent="0.2">
      <c r="B62" s="65"/>
    </row>
    <row r="63" spans="1:17" s="61" customFormat="1" ht="12" customHeight="1" x14ac:dyDescent="0.2">
      <c r="B63" s="65"/>
    </row>
  </sheetData>
  <protectedRanges>
    <protectedRange sqref="A52:D52" name="Range1"/>
  </protectedRanges>
  <phoneticPr fontId="8" type="noConversion"/>
  <hyperlinks>
    <hyperlink ref="H81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7"/>
  <sheetViews>
    <sheetView workbookViewId="0">
      <selection activeCell="A15" sqref="A15:D38"/>
    </sheetView>
  </sheetViews>
  <sheetFormatPr defaultRowHeight="12.75" x14ac:dyDescent="0.2"/>
  <cols>
    <col min="1" max="1" width="19.7109375" style="33" customWidth="1"/>
    <col min="2" max="2" width="4.42578125" style="13" customWidth="1"/>
    <col min="3" max="3" width="12.7109375" style="33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33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32" t="s">
        <v>50</v>
      </c>
      <c r="I1" s="34" t="s">
        <v>51</v>
      </c>
      <c r="J1" s="35" t="s">
        <v>52</v>
      </c>
    </row>
    <row r="2" spans="1:16" x14ac:dyDescent="0.2">
      <c r="I2" s="36" t="s">
        <v>53</v>
      </c>
      <c r="J2" s="37" t="s">
        <v>54</v>
      </c>
    </row>
    <row r="3" spans="1:16" x14ac:dyDescent="0.2">
      <c r="A3" s="38" t="s">
        <v>55</v>
      </c>
      <c r="I3" s="36" t="s">
        <v>56</v>
      </c>
      <c r="J3" s="37" t="s">
        <v>57</v>
      </c>
    </row>
    <row r="4" spans="1:16" x14ac:dyDescent="0.2">
      <c r="I4" s="36" t="s">
        <v>58</v>
      </c>
      <c r="J4" s="37" t="s">
        <v>57</v>
      </c>
    </row>
    <row r="5" spans="1:16" ht="13.5" thickBot="1" x14ac:dyDescent="0.25">
      <c r="I5" s="39" t="s">
        <v>59</v>
      </c>
      <c r="J5" s="40" t="s">
        <v>60</v>
      </c>
    </row>
    <row r="10" spans="1:16" ht="13.5" thickBot="1" x14ac:dyDescent="0.25"/>
    <row r="11" spans="1:16" ht="12.75" customHeight="1" thickBot="1" x14ac:dyDescent="0.25">
      <c r="A11" s="33" t="str">
        <f t="shared" ref="A11:A38" si="0">P11</f>
        <v> BBS 86 </v>
      </c>
      <c r="B11" s="4" t="str">
        <f t="shared" ref="B11:B38" si="1">IF(H11=INT(H11),"I","II")</f>
        <v>I</v>
      </c>
      <c r="C11" s="33">
        <f t="shared" ref="C11:C38" si="2">1*G11</f>
        <v>47057.41</v>
      </c>
      <c r="D11" s="13" t="str">
        <f t="shared" ref="D11:D38" si="3">VLOOKUP(F11,I$1:J$5,2,FALSE)</f>
        <v>vis</v>
      </c>
      <c r="E11" s="41">
        <f>VLOOKUP(C11,Active!C$21:E$972,3,FALSE)</f>
        <v>14305.018226370514</v>
      </c>
      <c r="F11" s="4" t="s">
        <v>59</v>
      </c>
      <c r="G11" s="13" t="str">
        <f t="shared" ref="G11:G38" si="4">MID(I11,3,LEN(I11)-3)</f>
        <v>47057.41</v>
      </c>
      <c r="H11" s="33">
        <f t="shared" ref="H11:H38" si="5">1*K11</f>
        <v>14305</v>
      </c>
      <c r="I11" s="42" t="s">
        <v>127</v>
      </c>
      <c r="J11" s="43" t="s">
        <v>128</v>
      </c>
      <c r="K11" s="42">
        <v>14305</v>
      </c>
      <c r="L11" s="42" t="s">
        <v>129</v>
      </c>
      <c r="M11" s="43" t="s">
        <v>130</v>
      </c>
      <c r="N11" s="43"/>
      <c r="O11" s="44" t="s">
        <v>131</v>
      </c>
      <c r="P11" s="44" t="s">
        <v>132</v>
      </c>
    </row>
    <row r="12" spans="1:16" ht="12.75" customHeight="1" thickBot="1" x14ac:dyDescent="0.25">
      <c r="A12" s="33" t="str">
        <f t="shared" si="0"/>
        <v> BBS 95 </v>
      </c>
      <c r="B12" s="4" t="str">
        <f t="shared" si="1"/>
        <v>I</v>
      </c>
      <c r="C12" s="33">
        <f t="shared" si="2"/>
        <v>47840.29</v>
      </c>
      <c r="D12" s="13" t="str">
        <f t="shared" si="3"/>
        <v>vis</v>
      </c>
      <c r="E12" s="41">
        <f>VLOOKUP(C12,Active!C$21:E$972,3,FALSE)</f>
        <v>14832.03802125232</v>
      </c>
      <c r="F12" s="4" t="s">
        <v>59</v>
      </c>
      <c r="G12" s="13" t="str">
        <f t="shared" si="4"/>
        <v>47840.290</v>
      </c>
      <c r="H12" s="33">
        <f t="shared" si="5"/>
        <v>14832</v>
      </c>
      <c r="I12" s="42" t="s">
        <v>133</v>
      </c>
      <c r="J12" s="43" t="s">
        <v>134</v>
      </c>
      <c r="K12" s="42">
        <v>14832</v>
      </c>
      <c r="L12" s="42" t="s">
        <v>135</v>
      </c>
      <c r="M12" s="43" t="s">
        <v>136</v>
      </c>
      <c r="N12" s="43" t="s">
        <v>137</v>
      </c>
      <c r="O12" s="44" t="s">
        <v>131</v>
      </c>
      <c r="P12" s="44" t="s">
        <v>138</v>
      </c>
    </row>
    <row r="13" spans="1:16" ht="12.75" customHeight="1" thickBot="1" x14ac:dyDescent="0.25">
      <c r="A13" s="33" t="str">
        <f t="shared" si="0"/>
        <v> BBS 113 </v>
      </c>
      <c r="B13" s="4" t="str">
        <f t="shared" si="1"/>
        <v>I</v>
      </c>
      <c r="C13" s="33">
        <f t="shared" si="2"/>
        <v>50279.43</v>
      </c>
      <c r="D13" s="13" t="str">
        <f t="shared" si="3"/>
        <v>vis</v>
      </c>
      <c r="E13" s="41">
        <f>VLOOKUP(C13,Active!C$21:E$972,3,FALSE)</f>
        <v>16474.02026947428</v>
      </c>
      <c r="F13" s="4" t="s">
        <v>59</v>
      </c>
      <c r="G13" s="13" t="str">
        <f t="shared" si="4"/>
        <v>50279.43</v>
      </c>
      <c r="H13" s="33">
        <f t="shared" si="5"/>
        <v>16474</v>
      </c>
      <c r="I13" s="42" t="s">
        <v>139</v>
      </c>
      <c r="J13" s="43" t="s">
        <v>140</v>
      </c>
      <c r="K13" s="42">
        <v>16474</v>
      </c>
      <c r="L13" s="42" t="s">
        <v>129</v>
      </c>
      <c r="M13" s="43" t="s">
        <v>136</v>
      </c>
      <c r="N13" s="43" t="s">
        <v>137</v>
      </c>
      <c r="O13" s="44" t="s">
        <v>131</v>
      </c>
      <c r="P13" s="44" t="s">
        <v>141</v>
      </c>
    </row>
    <row r="14" spans="1:16" ht="12.75" customHeight="1" thickBot="1" x14ac:dyDescent="0.25">
      <c r="A14" s="33" t="str">
        <f t="shared" si="0"/>
        <v>BAVM 183 </v>
      </c>
      <c r="B14" s="4" t="str">
        <f t="shared" si="1"/>
        <v>I</v>
      </c>
      <c r="C14" s="33">
        <f t="shared" si="2"/>
        <v>53966.411999999997</v>
      </c>
      <c r="D14" s="13" t="str">
        <f t="shared" si="3"/>
        <v>vis</v>
      </c>
      <c r="E14" s="41">
        <f>VLOOKUP(C14,Active!C$21:E$972,3,FALSE)</f>
        <v>18956.025809752369</v>
      </c>
      <c r="F14" s="4" t="s">
        <v>59</v>
      </c>
      <c r="G14" s="13" t="str">
        <f t="shared" si="4"/>
        <v>53966.4120</v>
      </c>
      <c r="H14" s="33">
        <f t="shared" si="5"/>
        <v>18956</v>
      </c>
      <c r="I14" s="42" t="s">
        <v>150</v>
      </c>
      <c r="J14" s="43" t="s">
        <v>151</v>
      </c>
      <c r="K14" s="42">
        <v>18956</v>
      </c>
      <c r="L14" s="42" t="s">
        <v>152</v>
      </c>
      <c r="M14" s="43" t="s">
        <v>153</v>
      </c>
      <c r="N14" s="43" t="s">
        <v>154</v>
      </c>
      <c r="O14" s="44" t="s">
        <v>155</v>
      </c>
      <c r="P14" s="45" t="s">
        <v>156</v>
      </c>
    </row>
    <row r="15" spans="1:16" ht="12.75" customHeight="1" thickBot="1" x14ac:dyDescent="0.25">
      <c r="A15" s="33" t="str">
        <f t="shared" si="0"/>
        <v> KVBB 19.44 </v>
      </c>
      <c r="B15" s="4" t="str">
        <f t="shared" si="1"/>
        <v>I</v>
      </c>
      <c r="C15" s="33">
        <f t="shared" si="2"/>
        <v>25807.505000000001</v>
      </c>
      <c r="D15" s="13" t="str">
        <f t="shared" si="3"/>
        <v>vis</v>
      </c>
      <c r="E15" s="41">
        <f>VLOOKUP(C15,Active!C$21:E$972,3,FALSE)</f>
        <v>-1.0097712194615175E-2</v>
      </c>
      <c r="F15" s="4" t="s">
        <v>59</v>
      </c>
      <c r="G15" s="13" t="str">
        <f t="shared" si="4"/>
        <v>25807.505</v>
      </c>
      <c r="H15" s="33">
        <f t="shared" si="5"/>
        <v>0</v>
      </c>
      <c r="I15" s="42" t="s">
        <v>63</v>
      </c>
      <c r="J15" s="43" t="s">
        <v>64</v>
      </c>
      <c r="K15" s="42">
        <v>0</v>
      </c>
      <c r="L15" s="42" t="s">
        <v>65</v>
      </c>
      <c r="M15" s="43" t="s">
        <v>66</v>
      </c>
      <c r="N15" s="43"/>
      <c r="O15" s="44" t="s">
        <v>67</v>
      </c>
      <c r="P15" s="44" t="s">
        <v>68</v>
      </c>
    </row>
    <row r="16" spans="1:16" ht="12.75" customHeight="1" thickBot="1" x14ac:dyDescent="0.25">
      <c r="A16" s="33" t="str">
        <f t="shared" si="0"/>
        <v> KVBB 19.44 </v>
      </c>
      <c r="B16" s="4" t="str">
        <f t="shared" si="1"/>
        <v>I</v>
      </c>
      <c r="C16" s="33">
        <f t="shared" si="2"/>
        <v>25862.451000000001</v>
      </c>
      <c r="D16" s="13" t="str">
        <f t="shared" si="3"/>
        <v>vis</v>
      </c>
      <c r="E16" s="41">
        <f>VLOOKUP(C16,Active!C$21:E$972,3,FALSE)</f>
        <v>36.978495238929035</v>
      </c>
      <c r="F16" s="4" t="s">
        <v>59</v>
      </c>
      <c r="G16" s="13" t="str">
        <f t="shared" si="4"/>
        <v>25862.451</v>
      </c>
      <c r="H16" s="33">
        <f t="shared" si="5"/>
        <v>37</v>
      </c>
      <c r="I16" s="42" t="s">
        <v>69</v>
      </c>
      <c r="J16" s="43" t="s">
        <v>70</v>
      </c>
      <c r="K16" s="42">
        <v>37</v>
      </c>
      <c r="L16" s="42" t="s">
        <v>71</v>
      </c>
      <c r="M16" s="43" t="s">
        <v>66</v>
      </c>
      <c r="N16" s="43"/>
      <c r="O16" s="44" t="s">
        <v>67</v>
      </c>
      <c r="P16" s="44" t="s">
        <v>68</v>
      </c>
    </row>
    <row r="17" spans="1:16" ht="12.75" customHeight="1" thickBot="1" x14ac:dyDescent="0.25">
      <c r="A17" s="33" t="str">
        <f t="shared" si="0"/>
        <v> KVBB 19.44 </v>
      </c>
      <c r="B17" s="4" t="str">
        <f t="shared" si="1"/>
        <v>I</v>
      </c>
      <c r="C17" s="33">
        <f t="shared" si="2"/>
        <v>25865.458999999999</v>
      </c>
      <c r="D17" s="13" t="str">
        <f t="shared" si="3"/>
        <v>vis</v>
      </c>
      <c r="E17" s="41">
        <f>VLOOKUP(C17,Active!C$21:E$972,3,FALSE)</f>
        <v>39.003423124433091</v>
      </c>
      <c r="F17" s="4" t="s">
        <v>59</v>
      </c>
      <c r="G17" s="13" t="str">
        <f t="shared" si="4"/>
        <v>25865.459</v>
      </c>
      <c r="H17" s="33">
        <f t="shared" si="5"/>
        <v>39</v>
      </c>
      <c r="I17" s="42" t="s">
        <v>72</v>
      </c>
      <c r="J17" s="43" t="s">
        <v>73</v>
      </c>
      <c r="K17" s="42">
        <v>39</v>
      </c>
      <c r="L17" s="42" t="s">
        <v>74</v>
      </c>
      <c r="M17" s="43" t="s">
        <v>66</v>
      </c>
      <c r="N17" s="43"/>
      <c r="O17" s="44" t="s">
        <v>67</v>
      </c>
      <c r="P17" s="44" t="s">
        <v>68</v>
      </c>
    </row>
    <row r="18" spans="1:16" ht="12.75" customHeight="1" thickBot="1" x14ac:dyDescent="0.25">
      <c r="A18" s="33" t="str">
        <f t="shared" si="0"/>
        <v> KVBB 19.44 </v>
      </c>
      <c r="B18" s="4" t="str">
        <f t="shared" si="1"/>
        <v>I</v>
      </c>
      <c r="C18" s="33">
        <f t="shared" si="2"/>
        <v>25938.249</v>
      </c>
      <c r="D18" s="13" t="str">
        <f t="shared" si="3"/>
        <v>vis</v>
      </c>
      <c r="E18" s="41">
        <f>VLOOKUP(C18,Active!C$21:E$972,3,FALSE)</f>
        <v>88.004254502737737</v>
      </c>
      <c r="F18" s="4" t="s">
        <v>59</v>
      </c>
      <c r="G18" s="13" t="str">
        <f t="shared" si="4"/>
        <v>25938.249</v>
      </c>
      <c r="H18" s="33">
        <f t="shared" si="5"/>
        <v>88</v>
      </c>
      <c r="I18" s="42" t="s">
        <v>75</v>
      </c>
      <c r="J18" s="43" t="s">
        <v>76</v>
      </c>
      <c r="K18" s="42">
        <v>88</v>
      </c>
      <c r="L18" s="42" t="s">
        <v>77</v>
      </c>
      <c r="M18" s="43" t="s">
        <v>66</v>
      </c>
      <c r="N18" s="43"/>
      <c r="O18" s="44" t="s">
        <v>67</v>
      </c>
      <c r="P18" s="44" t="s">
        <v>68</v>
      </c>
    </row>
    <row r="19" spans="1:16" ht="12.75" customHeight="1" thickBot="1" x14ac:dyDescent="0.25">
      <c r="A19" s="33" t="str">
        <f t="shared" si="0"/>
        <v> KVBB 19.44 </v>
      </c>
      <c r="B19" s="4" t="str">
        <f t="shared" si="1"/>
        <v>I</v>
      </c>
      <c r="C19" s="33">
        <f t="shared" si="2"/>
        <v>26119.512999999999</v>
      </c>
      <c r="D19" s="13" t="str">
        <f t="shared" si="3"/>
        <v>vis</v>
      </c>
      <c r="E19" s="41">
        <f>VLOOKUP(C19,Active!C$21:E$972,3,FALSE)</f>
        <v>210.02770139045401</v>
      </c>
      <c r="F19" s="4" t="s">
        <v>59</v>
      </c>
      <c r="G19" s="13" t="str">
        <f t="shared" si="4"/>
        <v>26119.513</v>
      </c>
      <c r="H19" s="33">
        <f t="shared" si="5"/>
        <v>210</v>
      </c>
      <c r="I19" s="42" t="s">
        <v>78</v>
      </c>
      <c r="J19" s="43" t="s">
        <v>79</v>
      </c>
      <c r="K19" s="42">
        <v>210</v>
      </c>
      <c r="L19" s="42" t="s">
        <v>80</v>
      </c>
      <c r="M19" s="43" t="s">
        <v>66</v>
      </c>
      <c r="N19" s="43"/>
      <c r="O19" s="44" t="s">
        <v>67</v>
      </c>
      <c r="P19" s="44" t="s">
        <v>68</v>
      </c>
    </row>
    <row r="20" spans="1:16" ht="12.75" customHeight="1" thickBot="1" x14ac:dyDescent="0.25">
      <c r="A20" s="33" t="str">
        <f t="shared" si="0"/>
        <v> KVBB 19.44 </v>
      </c>
      <c r="B20" s="4" t="str">
        <f t="shared" si="1"/>
        <v>I</v>
      </c>
      <c r="C20" s="33">
        <f t="shared" si="2"/>
        <v>26651.296999999999</v>
      </c>
      <c r="D20" s="13" t="str">
        <f t="shared" si="3"/>
        <v>vis</v>
      </c>
      <c r="E20" s="41">
        <f>VLOOKUP(C20,Active!C$21:E$972,3,FALSE)</f>
        <v>568.0144868510946</v>
      </c>
      <c r="F20" s="4" t="s">
        <v>59</v>
      </c>
      <c r="G20" s="13" t="str">
        <f t="shared" si="4"/>
        <v>26651.297</v>
      </c>
      <c r="H20" s="33">
        <f t="shared" si="5"/>
        <v>568</v>
      </c>
      <c r="I20" s="42" t="s">
        <v>81</v>
      </c>
      <c r="J20" s="43" t="s">
        <v>82</v>
      </c>
      <c r="K20" s="42">
        <v>568</v>
      </c>
      <c r="L20" s="42" t="s">
        <v>83</v>
      </c>
      <c r="M20" s="43" t="s">
        <v>66</v>
      </c>
      <c r="N20" s="43"/>
      <c r="O20" s="44" t="s">
        <v>67</v>
      </c>
      <c r="P20" s="44" t="s">
        <v>68</v>
      </c>
    </row>
    <row r="21" spans="1:16" ht="12.75" customHeight="1" thickBot="1" x14ac:dyDescent="0.25">
      <c r="A21" s="33" t="str">
        <f t="shared" si="0"/>
        <v> MHAR 14.9 </v>
      </c>
      <c r="B21" s="4" t="str">
        <f t="shared" si="1"/>
        <v>I</v>
      </c>
      <c r="C21" s="33">
        <f t="shared" si="2"/>
        <v>29846.550999999999</v>
      </c>
      <c r="D21" s="13" t="str">
        <f t="shared" si="3"/>
        <v>vis</v>
      </c>
      <c r="E21" s="41">
        <f>VLOOKUP(C21,Active!C$21:E$972,3,FALSE)</f>
        <v>2718.9981723140922</v>
      </c>
      <c r="F21" s="4" t="s">
        <v>59</v>
      </c>
      <c r="G21" s="13" t="str">
        <f t="shared" si="4"/>
        <v>29846.551</v>
      </c>
      <c r="H21" s="33">
        <f t="shared" si="5"/>
        <v>2719</v>
      </c>
      <c r="I21" s="42" t="s">
        <v>84</v>
      </c>
      <c r="J21" s="43" t="s">
        <v>85</v>
      </c>
      <c r="K21" s="42">
        <v>2719</v>
      </c>
      <c r="L21" s="42" t="s">
        <v>61</v>
      </c>
      <c r="M21" s="43" t="s">
        <v>66</v>
      </c>
      <c r="N21" s="43"/>
      <c r="O21" s="44" t="s">
        <v>86</v>
      </c>
      <c r="P21" s="44" t="s">
        <v>87</v>
      </c>
    </row>
    <row r="22" spans="1:16" ht="12.75" customHeight="1" thickBot="1" x14ac:dyDescent="0.25">
      <c r="A22" s="33" t="str">
        <f t="shared" si="0"/>
        <v> MHAR 14.9 </v>
      </c>
      <c r="B22" s="4" t="str">
        <f t="shared" si="1"/>
        <v>II</v>
      </c>
      <c r="C22" s="33">
        <f t="shared" si="2"/>
        <v>30606.366999999998</v>
      </c>
      <c r="D22" s="13" t="str">
        <f t="shared" si="3"/>
        <v>vis</v>
      </c>
      <c r="E22" s="41">
        <f>VLOOKUP(C22,Active!C$21:E$972,3,FALSE)</f>
        <v>3230.4917249248551</v>
      </c>
      <c r="F22" s="4" t="s">
        <v>59</v>
      </c>
      <c r="G22" s="13" t="str">
        <f t="shared" si="4"/>
        <v>30606.367</v>
      </c>
      <c r="H22" s="33">
        <f t="shared" si="5"/>
        <v>3230.5</v>
      </c>
      <c r="I22" s="42" t="s">
        <v>88</v>
      </c>
      <c r="J22" s="43" t="s">
        <v>89</v>
      </c>
      <c r="K22" s="42">
        <v>3230.5</v>
      </c>
      <c r="L22" s="42" t="s">
        <v>90</v>
      </c>
      <c r="M22" s="43" t="s">
        <v>66</v>
      </c>
      <c r="N22" s="43"/>
      <c r="O22" s="44" t="s">
        <v>86</v>
      </c>
      <c r="P22" s="44" t="s">
        <v>87</v>
      </c>
    </row>
    <row r="23" spans="1:16" ht="12.75" customHeight="1" thickBot="1" x14ac:dyDescent="0.25">
      <c r="A23" s="33" t="str">
        <f t="shared" si="0"/>
        <v> MHAR 14.9 </v>
      </c>
      <c r="B23" s="4" t="str">
        <f t="shared" si="1"/>
        <v>I</v>
      </c>
      <c r="C23" s="33">
        <f t="shared" si="2"/>
        <v>30614.54</v>
      </c>
      <c r="D23" s="13" t="str">
        <f t="shared" si="3"/>
        <v>vis</v>
      </c>
      <c r="E23" s="41">
        <f>VLOOKUP(C23,Active!C$21:E$972,3,FALSE)</f>
        <v>3235.9936317095094</v>
      </c>
      <c r="F23" s="4" t="s">
        <v>59</v>
      </c>
      <c r="G23" s="13" t="str">
        <f t="shared" si="4"/>
        <v>30614.540</v>
      </c>
      <c r="H23" s="33">
        <f t="shared" si="5"/>
        <v>3236</v>
      </c>
      <c r="I23" s="42" t="s">
        <v>91</v>
      </c>
      <c r="J23" s="43" t="s">
        <v>92</v>
      </c>
      <c r="K23" s="42">
        <v>3236</v>
      </c>
      <c r="L23" s="42" t="s">
        <v>93</v>
      </c>
      <c r="M23" s="43" t="s">
        <v>66</v>
      </c>
      <c r="N23" s="43"/>
      <c r="O23" s="44" t="s">
        <v>86</v>
      </c>
      <c r="P23" s="44" t="s">
        <v>87</v>
      </c>
    </row>
    <row r="24" spans="1:16" ht="12.75" customHeight="1" thickBot="1" x14ac:dyDescent="0.25">
      <c r="A24" s="33" t="str">
        <f t="shared" si="0"/>
        <v> AJ 55.231 </v>
      </c>
      <c r="B24" s="4" t="str">
        <f t="shared" si="1"/>
        <v>I</v>
      </c>
      <c r="C24" s="33">
        <f t="shared" si="2"/>
        <v>31376.582999999999</v>
      </c>
      <c r="D24" s="13" t="str">
        <f t="shared" si="3"/>
        <v>vis</v>
      </c>
      <c r="E24" s="41">
        <f>VLOOKUP(C24,Active!C$21:E$972,3,FALSE)</f>
        <v>3748.9863579908233</v>
      </c>
      <c r="F24" s="4" t="s">
        <v>59</v>
      </c>
      <c r="G24" s="13" t="str">
        <f t="shared" si="4"/>
        <v>31376.583</v>
      </c>
      <c r="H24" s="33">
        <f t="shared" si="5"/>
        <v>3749</v>
      </c>
      <c r="I24" s="42" t="s">
        <v>94</v>
      </c>
      <c r="J24" s="43" t="s">
        <v>95</v>
      </c>
      <c r="K24" s="42">
        <v>3749</v>
      </c>
      <c r="L24" s="42" t="s">
        <v>96</v>
      </c>
      <c r="M24" s="43" t="s">
        <v>62</v>
      </c>
      <c r="N24" s="43"/>
      <c r="O24" s="44" t="s">
        <v>97</v>
      </c>
      <c r="P24" s="44" t="s">
        <v>98</v>
      </c>
    </row>
    <row r="25" spans="1:16" ht="12.75" customHeight="1" thickBot="1" x14ac:dyDescent="0.25">
      <c r="A25" s="33" t="str">
        <f t="shared" si="0"/>
        <v> AJ 55.231 </v>
      </c>
      <c r="B25" s="4" t="str">
        <f t="shared" si="1"/>
        <v>I</v>
      </c>
      <c r="C25" s="33">
        <f t="shared" si="2"/>
        <v>32138.65</v>
      </c>
      <c r="D25" s="13" t="str">
        <f t="shared" si="3"/>
        <v>vis</v>
      </c>
      <c r="E25" s="41">
        <f>VLOOKUP(C25,Active!C$21:E$972,3,FALSE)</f>
        <v>4261.9952406116527</v>
      </c>
      <c r="F25" s="4" t="s">
        <v>59</v>
      </c>
      <c r="G25" s="13" t="str">
        <f t="shared" si="4"/>
        <v>32138.650</v>
      </c>
      <c r="H25" s="33">
        <f t="shared" si="5"/>
        <v>4262</v>
      </c>
      <c r="I25" s="42" t="s">
        <v>99</v>
      </c>
      <c r="J25" s="43" t="s">
        <v>100</v>
      </c>
      <c r="K25" s="42">
        <v>4262</v>
      </c>
      <c r="L25" s="42" t="s">
        <v>101</v>
      </c>
      <c r="M25" s="43" t="s">
        <v>62</v>
      </c>
      <c r="N25" s="43"/>
      <c r="O25" s="44" t="s">
        <v>97</v>
      </c>
      <c r="P25" s="44" t="s">
        <v>98</v>
      </c>
    </row>
    <row r="26" spans="1:16" ht="12.75" customHeight="1" thickBot="1" x14ac:dyDescent="0.25">
      <c r="A26" s="33" t="str">
        <f t="shared" si="0"/>
        <v> AJ 55.231 </v>
      </c>
      <c r="B26" s="4" t="str">
        <f t="shared" si="1"/>
        <v>I</v>
      </c>
      <c r="C26" s="33">
        <f t="shared" si="2"/>
        <v>33114.642999999996</v>
      </c>
      <c r="D26" s="13" t="str">
        <f t="shared" si="3"/>
        <v>vis</v>
      </c>
      <c r="E26" s="41">
        <f>VLOOKUP(C26,Active!C$21:E$972,3,FALSE)</f>
        <v>4919.0150018344148</v>
      </c>
      <c r="F26" s="4" t="s">
        <v>59</v>
      </c>
      <c r="G26" s="13" t="str">
        <f t="shared" si="4"/>
        <v>33114.643</v>
      </c>
      <c r="H26" s="33">
        <f t="shared" si="5"/>
        <v>4919</v>
      </c>
      <c r="I26" s="42" t="s">
        <v>102</v>
      </c>
      <c r="J26" s="43" t="s">
        <v>103</v>
      </c>
      <c r="K26" s="42">
        <v>4919</v>
      </c>
      <c r="L26" s="42" t="s">
        <v>83</v>
      </c>
      <c r="M26" s="43" t="s">
        <v>62</v>
      </c>
      <c r="N26" s="43"/>
      <c r="O26" s="44" t="s">
        <v>97</v>
      </c>
      <c r="P26" s="44" t="s">
        <v>98</v>
      </c>
    </row>
    <row r="27" spans="1:16" ht="12.75" customHeight="1" thickBot="1" x14ac:dyDescent="0.25">
      <c r="A27" s="33" t="str">
        <f t="shared" si="0"/>
        <v> MHAR 14.9 </v>
      </c>
      <c r="B27" s="4" t="str">
        <f t="shared" si="1"/>
        <v>I</v>
      </c>
      <c r="C27" s="33">
        <f t="shared" si="2"/>
        <v>38315.286999999997</v>
      </c>
      <c r="D27" s="13" t="str">
        <f t="shared" si="3"/>
        <v>vis</v>
      </c>
      <c r="E27" s="41">
        <f>VLOOKUP(C27,Active!C$21:E$972,3,FALSE)</f>
        <v>8419.988757880421</v>
      </c>
      <c r="F27" s="4" t="s">
        <v>59</v>
      </c>
      <c r="G27" s="13" t="str">
        <f t="shared" si="4"/>
        <v>38315.287</v>
      </c>
      <c r="H27" s="33">
        <f t="shared" si="5"/>
        <v>8420</v>
      </c>
      <c r="I27" s="42" t="s">
        <v>104</v>
      </c>
      <c r="J27" s="43" t="s">
        <v>105</v>
      </c>
      <c r="K27" s="42">
        <v>8420</v>
      </c>
      <c r="L27" s="42" t="s">
        <v>106</v>
      </c>
      <c r="M27" s="43" t="s">
        <v>66</v>
      </c>
      <c r="N27" s="43"/>
      <c r="O27" s="44" t="s">
        <v>86</v>
      </c>
      <c r="P27" s="44" t="s">
        <v>87</v>
      </c>
    </row>
    <row r="28" spans="1:16" ht="12.75" customHeight="1" thickBot="1" x14ac:dyDescent="0.25">
      <c r="A28" s="33" t="str">
        <f t="shared" si="0"/>
        <v> MHAR 14.9 </v>
      </c>
      <c r="B28" s="4" t="str">
        <f t="shared" si="1"/>
        <v>I</v>
      </c>
      <c r="C28" s="33">
        <f t="shared" si="2"/>
        <v>38318.269</v>
      </c>
      <c r="D28" s="13" t="str">
        <f t="shared" si="3"/>
        <v>vis</v>
      </c>
      <c r="E28" s="41">
        <f>VLOOKUP(C28,Active!C$21:E$972,3,FALSE)</f>
        <v>8421.9961830647899</v>
      </c>
      <c r="F28" s="4" t="s">
        <v>59</v>
      </c>
      <c r="G28" s="13" t="str">
        <f t="shared" si="4"/>
        <v>38318.269</v>
      </c>
      <c r="H28" s="33">
        <f t="shared" si="5"/>
        <v>8422</v>
      </c>
      <c r="I28" s="42" t="s">
        <v>107</v>
      </c>
      <c r="J28" s="43" t="s">
        <v>108</v>
      </c>
      <c r="K28" s="42">
        <v>8422</v>
      </c>
      <c r="L28" s="42" t="s">
        <v>109</v>
      </c>
      <c r="M28" s="43" t="s">
        <v>66</v>
      </c>
      <c r="N28" s="43"/>
      <c r="O28" s="44" t="s">
        <v>86</v>
      </c>
      <c r="P28" s="44" t="s">
        <v>87</v>
      </c>
    </row>
    <row r="29" spans="1:16" ht="12.75" customHeight="1" thickBot="1" x14ac:dyDescent="0.25">
      <c r="A29" s="33" t="str">
        <f t="shared" si="0"/>
        <v> MHAR 14.9 </v>
      </c>
      <c r="B29" s="4" t="str">
        <f t="shared" si="1"/>
        <v>I</v>
      </c>
      <c r="C29" s="33">
        <f t="shared" si="2"/>
        <v>38670.381999999998</v>
      </c>
      <c r="D29" s="13" t="str">
        <f t="shared" si="3"/>
        <v>vis</v>
      </c>
      <c r="E29" s="41">
        <f>VLOOKUP(C29,Active!C$21:E$972,3,FALSE)</f>
        <v>8659.0318986728234</v>
      </c>
      <c r="F29" s="4" t="s">
        <v>59</v>
      </c>
      <c r="G29" s="13" t="str">
        <f t="shared" si="4"/>
        <v>38670.382</v>
      </c>
      <c r="H29" s="33">
        <f t="shared" si="5"/>
        <v>8659</v>
      </c>
      <c r="I29" s="42" t="s">
        <v>110</v>
      </c>
      <c r="J29" s="43" t="s">
        <v>111</v>
      </c>
      <c r="K29" s="42">
        <v>8659</v>
      </c>
      <c r="L29" s="42" t="s">
        <v>112</v>
      </c>
      <c r="M29" s="43" t="s">
        <v>66</v>
      </c>
      <c r="N29" s="43"/>
      <c r="O29" s="44" t="s">
        <v>86</v>
      </c>
      <c r="P29" s="44" t="s">
        <v>87</v>
      </c>
    </row>
    <row r="30" spans="1:16" ht="12.75" customHeight="1" thickBot="1" x14ac:dyDescent="0.25">
      <c r="A30" s="33" t="str">
        <f t="shared" si="0"/>
        <v> AC 1162.6 </v>
      </c>
      <c r="B30" s="4" t="str">
        <f t="shared" si="1"/>
        <v>I</v>
      </c>
      <c r="C30" s="33">
        <f t="shared" si="2"/>
        <v>38804.080999999998</v>
      </c>
      <c r="D30" s="13" t="str">
        <f t="shared" si="3"/>
        <v>vis</v>
      </c>
      <c r="E30" s="41">
        <f>VLOOKUP(C30,Active!C$21:E$972,3,FALSE)</f>
        <v>8749.0355001901717</v>
      </c>
      <c r="F30" s="4" t="s">
        <v>59</v>
      </c>
      <c r="G30" s="13" t="str">
        <f t="shared" si="4"/>
        <v>38804.081</v>
      </c>
      <c r="H30" s="33">
        <f t="shared" si="5"/>
        <v>8749</v>
      </c>
      <c r="I30" s="42" t="s">
        <v>113</v>
      </c>
      <c r="J30" s="43" t="s">
        <v>114</v>
      </c>
      <c r="K30" s="42">
        <v>8749</v>
      </c>
      <c r="L30" s="42" t="s">
        <v>115</v>
      </c>
      <c r="M30" s="43" t="s">
        <v>62</v>
      </c>
      <c r="N30" s="43"/>
      <c r="O30" s="44" t="s">
        <v>116</v>
      </c>
      <c r="P30" s="44" t="s">
        <v>117</v>
      </c>
    </row>
    <row r="31" spans="1:16" ht="12.75" customHeight="1" thickBot="1" x14ac:dyDescent="0.25">
      <c r="A31" s="33" t="str">
        <f t="shared" si="0"/>
        <v> AC 1162.6 </v>
      </c>
      <c r="B31" s="4" t="str">
        <f t="shared" si="1"/>
        <v>I</v>
      </c>
      <c r="C31" s="33">
        <f t="shared" si="2"/>
        <v>38973.400999999998</v>
      </c>
      <c r="D31" s="13" t="str">
        <f t="shared" si="3"/>
        <v>vis</v>
      </c>
      <c r="E31" s="41">
        <f>VLOOKUP(C31,Active!C$21:E$972,3,FALSE)</f>
        <v>8863.0184754474121</v>
      </c>
      <c r="F31" s="4" t="s">
        <v>59</v>
      </c>
      <c r="G31" s="13" t="str">
        <f t="shared" si="4"/>
        <v>38973.401</v>
      </c>
      <c r="H31" s="33">
        <f t="shared" si="5"/>
        <v>8863</v>
      </c>
      <c r="I31" s="42" t="s">
        <v>118</v>
      </c>
      <c r="J31" s="43" t="s">
        <v>119</v>
      </c>
      <c r="K31" s="42">
        <v>8863</v>
      </c>
      <c r="L31" s="42" t="s">
        <v>120</v>
      </c>
      <c r="M31" s="43" t="s">
        <v>62</v>
      </c>
      <c r="N31" s="43"/>
      <c r="O31" s="44" t="s">
        <v>116</v>
      </c>
      <c r="P31" s="44" t="s">
        <v>117</v>
      </c>
    </row>
    <row r="32" spans="1:16" ht="12.75" customHeight="1" thickBot="1" x14ac:dyDescent="0.25">
      <c r="A32" s="33" t="str">
        <f t="shared" si="0"/>
        <v> AC 1162.6 </v>
      </c>
      <c r="B32" s="4" t="str">
        <f t="shared" si="1"/>
        <v>I</v>
      </c>
      <c r="C32" s="33">
        <f t="shared" si="2"/>
        <v>39178.438000000002</v>
      </c>
      <c r="D32" s="13" t="str">
        <f t="shared" si="3"/>
        <v>vis</v>
      </c>
      <c r="E32" s="41">
        <f>VLOOKUP(C32,Active!C$21:E$972,3,FALSE)</f>
        <v>9001.0454498025902</v>
      </c>
      <c r="F32" s="4" t="s">
        <v>59</v>
      </c>
      <c r="G32" s="13" t="str">
        <f t="shared" si="4"/>
        <v>39178.438</v>
      </c>
      <c r="H32" s="33">
        <f t="shared" si="5"/>
        <v>9001</v>
      </c>
      <c r="I32" s="42" t="s">
        <v>121</v>
      </c>
      <c r="J32" s="43" t="s">
        <v>122</v>
      </c>
      <c r="K32" s="42">
        <v>9001</v>
      </c>
      <c r="L32" s="42" t="s">
        <v>123</v>
      </c>
      <c r="M32" s="43" t="s">
        <v>62</v>
      </c>
      <c r="N32" s="43"/>
      <c r="O32" s="44" t="s">
        <v>116</v>
      </c>
      <c r="P32" s="44" t="s">
        <v>117</v>
      </c>
    </row>
    <row r="33" spans="1:16" ht="12.75" customHeight="1" thickBot="1" x14ac:dyDescent="0.25">
      <c r="A33" s="33" t="str">
        <f t="shared" si="0"/>
        <v> AC 1162.6 </v>
      </c>
      <c r="B33" s="4" t="str">
        <f t="shared" si="1"/>
        <v>I</v>
      </c>
      <c r="C33" s="33">
        <f t="shared" si="2"/>
        <v>39193.197</v>
      </c>
      <c r="D33" s="13" t="str">
        <f t="shared" si="3"/>
        <v>vis</v>
      </c>
      <c r="E33" s="41">
        <f>VLOOKUP(C33,Active!C$21:E$972,3,FALSE)</f>
        <v>9010.9809254216634</v>
      </c>
      <c r="F33" s="4" t="s">
        <v>59</v>
      </c>
      <c r="G33" s="13" t="str">
        <f t="shared" si="4"/>
        <v>39193.197</v>
      </c>
      <c r="H33" s="33">
        <f t="shared" si="5"/>
        <v>9011</v>
      </c>
      <c r="I33" s="42" t="s">
        <v>124</v>
      </c>
      <c r="J33" s="43" t="s">
        <v>125</v>
      </c>
      <c r="K33" s="42">
        <v>9011</v>
      </c>
      <c r="L33" s="42" t="s">
        <v>126</v>
      </c>
      <c r="M33" s="43" t="s">
        <v>62</v>
      </c>
      <c r="N33" s="43"/>
      <c r="O33" s="44" t="s">
        <v>116</v>
      </c>
      <c r="P33" s="44" t="s">
        <v>117</v>
      </c>
    </row>
    <row r="34" spans="1:16" ht="12.75" customHeight="1" thickBot="1" x14ac:dyDescent="0.25">
      <c r="A34" s="33" t="str">
        <f t="shared" si="0"/>
        <v> BBS 113 </v>
      </c>
      <c r="B34" s="4" t="str">
        <f t="shared" si="1"/>
        <v>I</v>
      </c>
      <c r="C34" s="33">
        <f t="shared" si="2"/>
        <v>50334.407500000001</v>
      </c>
      <c r="D34" s="13" t="str">
        <f t="shared" si="3"/>
        <v>vis</v>
      </c>
      <c r="E34" s="41">
        <f>VLOOKUP(C34,Active!C$21:E$972,3,FALSE)</f>
        <v>16511.030067621014</v>
      </c>
      <c r="F34" s="4" t="s">
        <v>59</v>
      </c>
      <c r="G34" s="13" t="str">
        <f t="shared" si="4"/>
        <v>50334.4075</v>
      </c>
      <c r="H34" s="33">
        <f t="shared" si="5"/>
        <v>16511</v>
      </c>
      <c r="I34" s="42" t="s">
        <v>142</v>
      </c>
      <c r="J34" s="43" t="s">
        <v>143</v>
      </c>
      <c r="K34" s="42">
        <v>16511</v>
      </c>
      <c r="L34" s="42" t="s">
        <v>144</v>
      </c>
      <c r="M34" s="43" t="s">
        <v>136</v>
      </c>
      <c r="N34" s="43" t="s">
        <v>137</v>
      </c>
      <c r="O34" s="44" t="s">
        <v>145</v>
      </c>
      <c r="P34" s="44" t="s">
        <v>141</v>
      </c>
    </row>
    <row r="35" spans="1:16" ht="12.75" customHeight="1" thickBot="1" x14ac:dyDescent="0.25">
      <c r="A35" s="33" t="str">
        <f t="shared" si="0"/>
        <v> BBS 126 </v>
      </c>
      <c r="B35" s="4" t="str">
        <f t="shared" si="1"/>
        <v>I</v>
      </c>
      <c r="C35" s="33">
        <f t="shared" si="2"/>
        <v>52118.47</v>
      </c>
      <c r="D35" s="13" t="str">
        <f t="shared" si="3"/>
        <v>vis</v>
      </c>
      <c r="E35" s="41">
        <f>VLOOKUP(C35,Active!C$21:E$972,3,FALSE)</f>
        <v>17712.026711814662</v>
      </c>
      <c r="F35" s="4" t="s">
        <v>59</v>
      </c>
      <c r="G35" s="13" t="str">
        <f t="shared" si="4"/>
        <v>52118.470</v>
      </c>
      <c r="H35" s="33">
        <f t="shared" si="5"/>
        <v>17712</v>
      </c>
      <c r="I35" s="42" t="s">
        <v>146</v>
      </c>
      <c r="J35" s="43" t="s">
        <v>147</v>
      </c>
      <c r="K35" s="42">
        <v>17712</v>
      </c>
      <c r="L35" s="42" t="s">
        <v>148</v>
      </c>
      <c r="M35" s="43" t="s">
        <v>136</v>
      </c>
      <c r="N35" s="43" t="s">
        <v>137</v>
      </c>
      <c r="O35" s="44" t="s">
        <v>145</v>
      </c>
      <c r="P35" s="44" t="s">
        <v>149</v>
      </c>
    </row>
    <row r="36" spans="1:16" ht="12.75" customHeight="1" thickBot="1" x14ac:dyDescent="0.25">
      <c r="A36" s="33" t="str">
        <f t="shared" si="0"/>
        <v>BAVM 193 </v>
      </c>
      <c r="B36" s="4" t="str">
        <f t="shared" si="1"/>
        <v>I</v>
      </c>
      <c r="C36" s="33">
        <f t="shared" si="2"/>
        <v>54327.383699999998</v>
      </c>
      <c r="D36" s="13" t="str">
        <f t="shared" si="3"/>
        <v>vis</v>
      </c>
      <c r="E36" s="41">
        <f>VLOOKUP(C36,Active!C$21:E$972,3,FALSE)</f>
        <v>19199.025032228532</v>
      </c>
      <c r="F36" s="4" t="s">
        <v>59</v>
      </c>
      <c r="G36" s="13" t="str">
        <f t="shared" si="4"/>
        <v>54327.3837</v>
      </c>
      <c r="H36" s="33">
        <f t="shared" si="5"/>
        <v>19199</v>
      </c>
      <c r="I36" s="42" t="s">
        <v>157</v>
      </c>
      <c r="J36" s="43" t="s">
        <v>158</v>
      </c>
      <c r="K36" s="42" t="s">
        <v>159</v>
      </c>
      <c r="L36" s="42" t="s">
        <v>160</v>
      </c>
      <c r="M36" s="43" t="s">
        <v>153</v>
      </c>
      <c r="N36" s="43" t="s">
        <v>154</v>
      </c>
      <c r="O36" s="44" t="s">
        <v>155</v>
      </c>
      <c r="P36" s="45" t="s">
        <v>161</v>
      </c>
    </row>
    <row r="37" spans="1:16" ht="12.75" customHeight="1" thickBot="1" x14ac:dyDescent="0.25">
      <c r="A37" s="33" t="str">
        <f t="shared" si="0"/>
        <v>BAVM 193 </v>
      </c>
      <c r="B37" s="4" t="str">
        <f t="shared" si="1"/>
        <v>I</v>
      </c>
      <c r="C37" s="33">
        <f t="shared" si="2"/>
        <v>54385.318399999996</v>
      </c>
      <c r="D37" s="13" t="str">
        <f t="shared" si="3"/>
        <v>vis</v>
      </c>
      <c r="E37" s="41">
        <f>VLOOKUP(C37,Active!C$21:E$972,3,FALSE)</f>
        <v>19238.025560675469</v>
      </c>
      <c r="F37" s="4" t="s">
        <v>59</v>
      </c>
      <c r="G37" s="13" t="str">
        <f t="shared" si="4"/>
        <v>54385.3184</v>
      </c>
      <c r="H37" s="33">
        <f t="shared" si="5"/>
        <v>19238</v>
      </c>
      <c r="I37" s="42" t="s">
        <v>162</v>
      </c>
      <c r="J37" s="43" t="s">
        <v>163</v>
      </c>
      <c r="K37" s="42" t="s">
        <v>164</v>
      </c>
      <c r="L37" s="42" t="s">
        <v>165</v>
      </c>
      <c r="M37" s="43" t="s">
        <v>153</v>
      </c>
      <c r="N37" s="43" t="s">
        <v>154</v>
      </c>
      <c r="O37" s="44" t="s">
        <v>155</v>
      </c>
      <c r="P37" s="45" t="s">
        <v>161</v>
      </c>
    </row>
    <row r="38" spans="1:16" ht="12.75" customHeight="1" thickBot="1" x14ac:dyDescent="0.25">
      <c r="A38" s="33" t="str">
        <f t="shared" si="0"/>
        <v>OEJV 0094 </v>
      </c>
      <c r="B38" s="4" t="str">
        <f t="shared" si="1"/>
        <v>I</v>
      </c>
      <c r="C38" s="33">
        <f t="shared" si="2"/>
        <v>54388.2961</v>
      </c>
      <c r="D38" s="13" t="str">
        <f t="shared" si="3"/>
        <v>vis</v>
      </c>
      <c r="E38" s="41" t="e">
        <f>VLOOKUP(C38,Active!C$21:E$972,3,FALSE)</f>
        <v>#N/A</v>
      </c>
      <c r="F38" s="4" t="s">
        <v>59</v>
      </c>
      <c r="G38" s="13" t="str">
        <f t="shared" si="4"/>
        <v>54388.2961</v>
      </c>
      <c r="H38" s="33">
        <f t="shared" si="5"/>
        <v>19240</v>
      </c>
      <c r="I38" s="42" t="s">
        <v>166</v>
      </c>
      <c r="J38" s="43" t="s">
        <v>167</v>
      </c>
      <c r="K38" s="42" t="s">
        <v>168</v>
      </c>
      <c r="L38" s="42" t="s">
        <v>144</v>
      </c>
      <c r="M38" s="43" t="s">
        <v>153</v>
      </c>
      <c r="N38" s="43" t="s">
        <v>169</v>
      </c>
      <c r="O38" s="44" t="s">
        <v>170</v>
      </c>
      <c r="P38" s="45" t="s">
        <v>171</v>
      </c>
    </row>
    <row r="39" spans="1:16" x14ac:dyDescent="0.2">
      <c r="B39" s="4"/>
      <c r="F39" s="4"/>
    </row>
    <row r="40" spans="1:16" x14ac:dyDescent="0.2">
      <c r="B40" s="4"/>
      <c r="F40" s="4"/>
    </row>
    <row r="41" spans="1:16" x14ac:dyDescent="0.2">
      <c r="B41" s="4"/>
      <c r="F41" s="4"/>
    </row>
    <row r="42" spans="1:16" x14ac:dyDescent="0.2">
      <c r="B42" s="4"/>
      <c r="F42" s="4"/>
    </row>
    <row r="43" spans="1:16" x14ac:dyDescent="0.2">
      <c r="B43" s="4"/>
      <c r="F43" s="4"/>
    </row>
    <row r="44" spans="1:16" x14ac:dyDescent="0.2">
      <c r="B44" s="4"/>
      <c r="F44" s="4"/>
    </row>
    <row r="45" spans="1:16" x14ac:dyDescent="0.2">
      <c r="B45" s="4"/>
      <c r="F45" s="4"/>
    </row>
    <row r="46" spans="1:16" x14ac:dyDescent="0.2">
      <c r="B46" s="4"/>
      <c r="F46" s="4"/>
    </row>
    <row r="47" spans="1:16" x14ac:dyDescent="0.2">
      <c r="B47" s="4"/>
      <c r="F47" s="4"/>
    </row>
    <row r="48" spans="1:16" x14ac:dyDescent="0.2">
      <c r="B48" s="4"/>
      <c r="F48" s="4"/>
    </row>
    <row r="49" spans="2:6" x14ac:dyDescent="0.2">
      <c r="B49" s="4"/>
      <c r="F49" s="4"/>
    </row>
    <row r="50" spans="2:6" x14ac:dyDescent="0.2">
      <c r="B50" s="4"/>
      <c r="F50" s="4"/>
    </row>
    <row r="51" spans="2:6" x14ac:dyDescent="0.2">
      <c r="B51" s="4"/>
      <c r="F51" s="4"/>
    </row>
    <row r="52" spans="2:6" x14ac:dyDescent="0.2">
      <c r="B52" s="4"/>
      <c r="F52" s="4"/>
    </row>
    <row r="53" spans="2:6" x14ac:dyDescent="0.2">
      <c r="B53" s="4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</sheetData>
  <phoneticPr fontId="8" type="noConversion"/>
  <hyperlinks>
    <hyperlink ref="P14" r:id="rId1" display="http://www.bav-astro.de/sfs/BAVM_link.php?BAVMnr=183" xr:uid="{00000000-0004-0000-0100-000000000000}"/>
    <hyperlink ref="P36" r:id="rId2" display="http://www.bav-astro.de/sfs/BAVM_link.php?BAVMnr=193" xr:uid="{00000000-0004-0000-0100-000001000000}"/>
    <hyperlink ref="P37" r:id="rId3" display="http://www.bav-astro.de/sfs/BAVM_link.php?BAVMnr=193" xr:uid="{00000000-0004-0000-0100-000002000000}"/>
    <hyperlink ref="P38" r:id="rId4" display="http://var.astro.cz/oejv/issues/oejv0094.pdf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2023-08-06T08:37:48Z</dcterms:modified>
</cp:coreProperties>
</file>