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7D716F8-524C-4CE2-900D-CFCC87F11B2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0" i="1" l="1"/>
  <c r="E40" i="1"/>
  <c r="F40" i="1"/>
  <c r="G40" i="1"/>
  <c r="K40" i="1"/>
  <c r="E37" i="1"/>
  <c r="F37" i="1"/>
  <c r="G37" i="1"/>
  <c r="K37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E34" i="1"/>
  <c r="F34" i="1"/>
  <c r="G34" i="1"/>
  <c r="K34" i="1"/>
  <c r="E35" i="1"/>
  <c r="F35" i="1"/>
  <c r="G35" i="1"/>
  <c r="K35" i="1"/>
  <c r="E36" i="1"/>
  <c r="F36" i="1"/>
  <c r="G36" i="1"/>
  <c r="K36" i="1"/>
  <c r="E38" i="1"/>
  <c r="F38" i="1"/>
  <c r="G38" i="1"/>
  <c r="K38" i="1"/>
  <c r="E39" i="1"/>
  <c r="F39" i="1"/>
  <c r="G39" i="1"/>
  <c r="K39" i="1"/>
  <c r="Q37" i="1"/>
  <c r="D9" i="1"/>
  <c r="C9" i="1"/>
  <c r="Q39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E27" i="1"/>
  <c r="F27" i="1"/>
  <c r="G27" i="1"/>
  <c r="I27" i="1"/>
  <c r="E28" i="1"/>
  <c r="F28" i="1"/>
  <c r="G28" i="1"/>
  <c r="I28" i="1"/>
  <c r="E29" i="1"/>
  <c r="F29" i="1"/>
  <c r="G29" i="1"/>
  <c r="I29" i="1"/>
  <c r="Q21" i="1"/>
  <c r="Q22" i="1"/>
  <c r="Q23" i="1"/>
  <c r="Q24" i="1"/>
  <c r="Q25" i="1"/>
  <c r="I26" i="1"/>
  <c r="Q26" i="1"/>
  <c r="Q27" i="1"/>
  <c r="Q28" i="1"/>
  <c r="Q29" i="1"/>
  <c r="G15" i="2"/>
  <c r="C15" i="2"/>
  <c r="E15" i="2"/>
  <c r="G14" i="2"/>
  <c r="C14" i="2"/>
  <c r="E14" i="2"/>
  <c r="G13" i="2"/>
  <c r="C13" i="2"/>
  <c r="E13" i="2"/>
  <c r="G12" i="2"/>
  <c r="C12" i="2"/>
  <c r="E12" i="2"/>
  <c r="G26" i="2"/>
  <c r="C26" i="2"/>
  <c r="E26" i="2"/>
  <c r="G25" i="2"/>
  <c r="C25" i="2"/>
  <c r="E25" i="2"/>
  <c r="G11" i="2"/>
  <c r="C11" i="2"/>
  <c r="E11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26" i="2"/>
  <c r="B26" i="2"/>
  <c r="D26" i="2"/>
  <c r="A26" i="2"/>
  <c r="H25" i="2"/>
  <c r="B25" i="2"/>
  <c r="D25" i="2"/>
  <c r="A25" i="2"/>
  <c r="H11" i="2"/>
  <c r="B11" i="2"/>
  <c r="D11" i="2"/>
  <c r="A11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Q38" i="1"/>
  <c r="F16" i="1"/>
  <c r="C17" i="1"/>
  <c r="Q30" i="1"/>
  <c r="Q31" i="1"/>
  <c r="Q32" i="1"/>
  <c r="K33" i="1"/>
  <c r="Q33" i="1"/>
  <c r="Q34" i="1"/>
  <c r="Q35" i="1"/>
  <c r="Q36" i="1"/>
  <c r="C11" i="1"/>
  <c r="C12" i="1"/>
  <c r="C16" i="1" l="1"/>
  <c r="D18" i="1" s="1"/>
  <c r="O38" i="1"/>
  <c r="O24" i="1"/>
  <c r="O40" i="1"/>
  <c r="O39" i="1"/>
  <c r="O28" i="1"/>
  <c r="O33" i="1"/>
  <c r="O35" i="1"/>
  <c r="O37" i="1"/>
  <c r="O27" i="1"/>
  <c r="O34" i="1"/>
  <c r="O32" i="1"/>
  <c r="O36" i="1"/>
  <c r="O26" i="1"/>
  <c r="C15" i="1"/>
  <c r="F18" i="1" s="1"/>
  <c r="O29" i="1"/>
  <c r="O21" i="1"/>
  <c r="O31" i="1"/>
  <c r="O30" i="1"/>
  <c r="O25" i="1"/>
  <c r="O22" i="1"/>
  <c r="O23" i="1"/>
  <c r="F17" i="1"/>
  <c r="C18" i="1" l="1"/>
  <c r="F19" i="1"/>
</calcChain>
</file>

<file path=xl/sharedStrings.xml><?xml version="1.0" encoding="utf-8"?>
<sst xmlns="http://schemas.openxmlformats.org/spreadsheetml/2006/main" count="221" uniqueCount="131">
  <si>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</si>
  <si>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</si>
  <si>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</si>
  <si>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</si>
  <si>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</si>
  <si>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</si>
  <si>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</si>
  <si>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</si>
  <si>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</si>
  <si>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</si>
  <si>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</si>
  <si>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</si>
  <si>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</si>
  <si>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</si>
  <si>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</si>
  <si>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</si>
  <si>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</si>
  <si>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</si>
  <si>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</si>
  <si>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</si>
  <si>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</si>
  <si>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</si>
  <si>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</si>
  <si>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</si>
  <si>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</si>
  <si>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</si>
  <si>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</si>
  <si>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</si>
  <si>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</si>
  <si>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</si>
  <si>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</si>
  <si>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</si>
  <si>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</si>
  <si>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</si>
  <si>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BL Dra / GSC 4230-0991</t>
  </si>
  <si>
    <t>not avail.</t>
  </si>
  <si>
    <t>gettel 2006</t>
  </si>
  <si>
    <t>OEJV 0107</t>
  </si>
  <si>
    <t>II</t>
  </si>
  <si>
    <t>OEJV 0074</t>
  </si>
  <si>
    <t>IBVS 5966</t>
  </si>
  <si>
    <t>Add cycle</t>
  </si>
  <si>
    <t>Old Cycle</t>
  </si>
  <si>
    <t>OEJV 0137</t>
  </si>
  <si>
    <t>I</t>
  </si>
  <si>
    <t>IBVS 5992</t>
  </si>
  <si>
    <t>IBVS 6050</t>
  </si>
  <si>
    <t>OEJV 0160</t>
  </si>
  <si>
    <t>BAD?</t>
  </si>
  <si>
    <t>EW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</si>
  <si>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</si>
  <si>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</si>
  <si>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</si>
  <si>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</si>
  <si>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</si>
  <si>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</si>
  <si>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</si>
  <si>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</si>
  <si>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</si>
  <si>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</si>
  <si>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</si>
  <si>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2437669.224 </t>
  </si>
  <si>
    <t> 04.01.1962 17:22 </t>
  </si>
  <si>
    <t> -0.037 </t>
  </si>
  <si>
    <t>P </t>
  </si>
  <si>
    <t> H.Gessner </t>
  </si>
  <si>
    <t> VSS 7.102 </t>
  </si>
  <si>
    <t>2437906.560 </t>
  </si>
  <si>
    <t> 30.08.1962 01:26 </t>
  </si>
  <si>
    <t> -0.073 </t>
  </si>
  <si>
    <t>2437907.573 </t>
  </si>
  <si>
    <t> 31.08.1962 01:45 </t>
  </si>
  <si>
    <t> -0.066 </t>
  </si>
  <si>
    <t>2437911.568 </t>
  </si>
  <si>
    <t> 04.09.1962 01:37 </t>
  </si>
  <si>
    <t> -0.098 </t>
  </si>
  <si>
    <t>2437917.619 </t>
  </si>
  <si>
    <t> 10.09.1962 02:51 </t>
  </si>
  <si>
    <t> -0.087 </t>
  </si>
  <si>
    <t>2437934.544 </t>
  </si>
  <si>
    <t> 27.09.1962 01:03 </t>
  </si>
  <si>
    <t> -0.074 </t>
  </si>
  <si>
    <t>2437941.414 </t>
  </si>
  <si>
    <t> 03.10.1962 21:56 </t>
  </si>
  <si>
    <t> -0.049 </t>
  </si>
  <si>
    <t>2437970.380 </t>
  </si>
  <si>
    <t> 01.11.1962 21:07 </t>
  </si>
  <si>
    <t> -0.075 </t>
  </si>
  <si>
    <t>2438001.383 </t>
  </si>
  <si>
    <t> 02.12.1962 21:11 </t>
  </si>
  <si>
    <t> -0.077 </t>
  </si>
  <si>
    <t>2454343.43941 </t>
  </si>
  <si>
    <t> 30.08.2007 22:32 </t>
  </si>
  <si>
    <t> 0.00108 </t>
  </si>
  <si>
    <t>C </t>
  </si>
  <si>
    <t>R</t>
  </si>
  <si>
    <t> L.Brát </t>
  </si>
  <si>
    <t>OEJV 0074 </t>
  </si>
  <si>
    <t>2454955.4899 </t>
  </si>
  <si>
    <t> 03.05.2009 23:45 </t>
  </si>
  <si>
    <t> 0.0000 </t>
  </si>
  <si>
    <t> R.Kocián </t>
  </si>
  <si>
    <t>OEJV 0107 </t>
  </si>
  <si>
    <t>2455168.2946 </t>
  </si>
  <si>
    <t> 02.12.2009 19:04 </t>
  </si>
  <si>
    <t> -0.0040 </t>
  </si>
  <si>
    <t> R.Ehrenberger </t>
  </si>
  <si>
    <t>OEJV 0137 </t>
  </si>
  <si>
    <t>2455322.9207 </t>
  </si>
  <si>
    <t> 06.05.2010 10:05 </t>
  </si>
  <si>
    <t> -0.0015 </t>
  </si>
  <si>
    <t> R.Nelson </t>
  </si>
  <si>
    <t>IBVS 5966 </t>
  </si>
  <si>
    <t>2455672.43482 </t>
  </si>
  <si>
    <t> 20.04.2011 22:26 </t>
  </si>
  <si>
    <t> -0.00099 </t>
  </si>
  <si>
    <t> M.Zibar </t>
  </si>
  <si>
    <t>OEJV 0160 </t>
  </si>
  <si>
    <t>2455730.8256 </t>
  </si>
  <si>
    <t> 18.06.2011 07:48 </t>
  </si>
  <si>
    <t> 0.0033 </t>
  </si>
  <si>
    <t> R.Diethelm </t>
  </si>
  <si>
    <t>IBVS 5992 </t>
  </si>
  <si>
    <t>2456119.7962 </t>
  </si>
  <si>
    <t> 11.07.2012 07:06 </t>
  </si>
  <si>
    <t> -0.0010 </t>
  </si>
  <si>
    <t>IBVS 6050 </t>
  </si>
  <si>
    <t>IBVS 6154</t>
  </si>
  <si>
    <t>OEJV 0179</t>
  </si>
  <si>
    <t>IBVS 6234</t>
  </si>
  <si>
    <t>RHN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</si>
</sst>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Dra - O-C Diagr.</a:t>
            </a:r>
          </a:p>
        </c:rich>
      </c:tx>
      <c:layout>
        <c:manualLayout>
          <c:xMode val="edge"/>
          <c:yMode val="edge"/>
          <c:x val="0.4190064794816414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5161987041037"/>
          <c:y val="0.14035127795846455"/>
          <c:w val="0.859611231101511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F1-469B-BB7E-9EB3F16B6D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-2.9219999996712431E-2</c:v>
                </c:pt>
                <c:pt idx="1">
                  <c:v>-6.1879500004579313E-2</c:v>
                </c:pt>
                <c:pt idx="2">
                  <c:v>-5.5532000005769078E-2</c:v>
                </c:pt>
                <c:pt idx="3">
                  <c:v>-8.714200000395067E-2</c:v>
                </c:pt>
                <c:pt idx="4">
                  <c:v>-7.6057000005675945E-2</c:v>
                </c:pt>
                <c:pt idx="5">
                  <c:v>-6.28190000061295E-2</c:v>
                </c:pt>
                <c:pt idx="6">
                  <c:v>-3.8056000004871748E-2</c:v>
                </c:pt>
                <c:pt idx="7">
                  <c:v>-6.3648000003013294E-2</c:v>
                </c:pt>
                <c:pt idx="8">
                  <c:v>-6.5545000004931353E-2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F1-469B-BB7E-9EB3F16B6D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F1-469B-BB7E-9EB3F16B6D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9">
                  <c:v>-5.8200000057695433E-3</c:v>
                </c:pt>
                <c:pt idx="10">
                  <c:v>0</c:v>
                </c:pt>
                <c:pt idx="11">
                  <c:v>-1.6685000009601936E-3</c:v>
                </c:pt>
                <c:pt idx="12">
                  <c:v>2.5874999992083758E-3</c:v>
                </c:pt>
                <c:pt idx="13">
                  <c:v>6.9595000022673048E-3</c:v>
                </c:pt>
                <c:pt idx="14">
                  <c:v>1.1894499992195051E-2</c:v>
                </c:pt>
                <c:pt idx="15">
                  <c:v>1.1968499995418824E-2</c:v>
                </c:pt>
                <c:pt idx="16">
                  <c:v>1.8530499997723382E-2</c:v>
                </c:pt>
                <c:pt idx="17">
                  <c:v>2.2085999997216277E-2</c:v>
                </c:pt>
                <c:pt idx="18">
                  <c:v>2.9745499996352009E-2</c:v>
                </c:pt>
                <c:pt idx="19">
                  <c:v>4.4290499994531274E-2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F1-469B-BB7E-9EB3F16B6D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F1-469B-BB7E-9EB3F16B6D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F1-469B-BB7E-9EB3F16B6D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F1-469B-BB7E-9EB3F16B6D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-0.18317936121256423</c:v>
                </c:pt>
                <c:pt idx="1">
                  <c:v>-0.18067294090713731</c:v>
                </c:pt>
                <c:pt idx="2">
                  <c:v>-0.18066231147412024</c:v>
                </c:pt>
                <c:pt idx="3">
                  <c:v>-0.18061979374205192</c:v>
                </c:pt>
                <c:pt idx="4">
                  <c:v>-0.18055601714394945</c:v>
                </c:pt>
                <c:pt idx="5">
                  <c:v>-0.18037744266926256</c:v>
                </c:pt>
                <c:pt idx="6">
                  <c:v>-0.18030516252474643</c:v>
                </c:pt>
                <c:pt idx="7">
                  <c:v>-0.1799990348538546</c:v>
                </c:pt>
                <c:pt idx="8">
                  <c:v>-0.17967164831692858</c:v>
                </c:pt>
                <c:pt idx="9">
                  <c:v>-7.11343271768956E-3</c:v>
                </c:pt>
                <c:pt idx="10">
                  <c:v>-6.5073744330633161E-4</c:v>
                </c:pt>
                <c:pt idx="11">
                  <c:v>1.5963246965038898E-3</c:v>
                </c:pt>
                <c:pt idx="12">
                  <c:v>3.2290056079270213E-3</c:v>
                </c:pt>
                <c:pt idx="13">
                  <c:v>6.9195447514563916E-3</c:v>
                </c:pt>
                <c:pt idx="14">
                  <c:v>7.5360518664468971E-3</c:v>
                </c:pt>
                <c:pt idx="15">
                  <c:v>1.1643264784245712E-2</c:v>
                </c:pt>
                <c:pt idx="16">
                  <c:v>2.2221676522841419E-2</c:v>
                </c:pt>
                <c:pt idx="17">
                  <c:v>2.283605775122851E-2</c:v>
                </c:pt>
                <c:pt idx="18">
                  <c:v>3.0533893142196164E-2</c:v>
                </c:pt>
                <c:pt idx="19">
                  <c:v>4.1822351006332657E-2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F1-469B-BB7E-9EB3F16B6D9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Active!$D$21:$D$46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4.0000000000000002E-4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8.0000000000000004E-4</c:v>
                  </c:pt>
                  <c:pt idx="15">
                    <c:v>4.0000000000000002E-4</c:v>
                  </c:pt>
                  <c:pt idx="16">
                    <c:v>2.9999999999999997E-4</c:v>
                  </c:pt>
                  <c:pt idx="17">
                    <c:v>4.0000000000000002E-4</c:v>
                  </c:pt>
                  <c:pt idx="18">
                    <c:v>1E-4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-42929.5</c:v>
                </c:pt>
                <c:pt idx="1">
                  <c:v>-42340</c:v>
                </c:pt>
                <c:pt idx="2">
                  <c:v>-42337.5</c:v>
                </c:pt>
                <c:pt idx="3">
                  <c:v>-42327.5</c:v>
                </c:pt>
                <c:pt idx="4">
                  <c:v>-42312.5</c:v>
                </c:pt>
                <c:pt idx="5">
                  <c:v>-42270.5</c:v>
                </c:pt>
                <c:pt idx="6">
                  <c:v>-42253.5</c:v>
                </c:pt>
                <c:pt idx="7">
                  <c:v>-42181.5</c:v>
                </c:pt>
                <c:pt idx="8">
                  <c:v>-42104.5</c:v>
                </c:pt>
                <c:pt idx="9">
                  <c:v>-1519.5</c:v>
                </c:pt>
                <c:pt idx="10">
                  <c:v>0.5</c:v>
                </c:pt>
                <c:pt idx="11">
                  <c:v>529</c:v>
                </c:pt>
                <c:pt idx="12">
                  <c:v>913</c:v>
                </c:pt>
                <c:pt idx="13">
                  <c:v>1781</c:v>
                </c:pt>
                <c:pt idx="14">
                  <c:v>1926</c:v>
                </c:pt>
                <c:pt idx="15">
                  <c:v>2892</c:v>
                </c:pt>
                <c:pt idx="16">
                  <c:v>5380</c:v>
                </c:pt>
                <c:pt idx="17">
                  <c:v>5524.5</c:v>
                </c:pt>
                <c:pt idx="18">
                  <c:v>7335</c:v>
                </c:pt>
                <c:pt idx="19">
                  <c:v>9990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F1-469B-BB7E-9EB3F16B6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327848"/>
        <c:axId val="1"/>
      </c:scatterChart>
      <c:valAx>
        <c:axId val="55132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580993520518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27645788336932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32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669546436285094"/>
          <c:y val="0.92397937099967764"/>
          <c:w val="0.5194384449244060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21</xdr:col>
      <xdr:colOff>28575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58BB0C2-7643-BAE2-B581-0A55D67F4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6050" TargetMode="External"/><Relationship Id="rId2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37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1" sqref="E11:F11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34</v>
      </c>
    </row>
    <row r="2" spans="1:6" x14ac:dyDescent="0.2">
      <c r="A2" t="s">
        <v>23</v>
      </c>
      <c r="B2" s="3" t="s">
        <v>49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35</v>
      </c>
      <c r="D4" s="9" t="s">
        <v>35</v>
      </c>
    </row>
    <row r="5" spans="1:6" ht="13.5" thickTop="1" x14ac:dyDescent="0.2">
      <c r="A5" s="11" t="s">
        <v>28</v>
      </c>
      <c r="B5" s="5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54955.288619500003</v>
      </c>
    </row>
    <row r="8" spans="1:6" x14ac:dyDescent="0.2">
      <c r="A8" t="s">
        <v>3</v>
      </c>
      <c r="C8">
        <v>0.40266099999999999</v>
      </c>
      <c r="D8" t="s">
        <v>36</v>
      </c>
    </row>
    <row r="9" spans="1:6" x14ac:dyDescent="0.2">
      <c r="A9" s="26" t="s">
        <v>33</v>
      </c>
      <c r="B9" s="27">
        <v>30</v>
      </c>
      <c r="C9" s="24" t="str">
        <f>"F"&amp;B9</f>
        <v>F30</v>
      </c>
      <c r="D9" s="25" t="str">
        <f>"G"&amp;B9</f>
        <v>G30</v>
      </c>
    </row>
    <row r="10" spans="1:6" ht="13.5" thickBot="1" x14ac:dyDescent="0.25">
      <c r="A10" s="12"/>
      <c r="B10" s="5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52"/>
      <c r="C11" s="23">
        <f ca="1">INTERCEPT(INDIRECT($D$9):G990,INDIRECT($C$9):F990)</f>
        <v>-6.5286332990974714E-4</v>
      </c>
      <c r="D11" s="3"/>
      <c r="E11" s="12"/>
    </row>
    <row r="12" spans="1:6" x14ac:dyDescent="0.2">
      <c r="A12" s="12" t="s">
        <v>16</v>
      </c>
      <c r="B12" s="52"/>
      <c r="C12" s="23">
        <f ca="1">SLOPE(INDIRECT($D$9):G990,INDIRECT($C$9):F990)</f>
        <v>4.2517732068310716E-6</v>
      </c>
      <c r="D12" s="3"/>
      <c r="E12" s="12"/>
    </row>
    <row r="13" spans="1:6" x14ac:dyDescent="0.2">
      <c r="A13" s="12" t="s">
        <v>18</v>
      </c>
      <c r="B13" s="52"/>
      <c r="C13" s="3" t="s">
        <v>13</v>
      </c>
    </row>
    <row r="14" spans="1:6" x14ac:dyDescent="0.2">
      <c r="A14" s="12"/>
      <c r="B14" s="52"/>
      <c r="C14" s="12"/>
    </row>
    <row r="15" spans="1:6" x14ac:dyDescent="0.2">
      <c r="A15" s="14" t="s">
        <v>17</v>
      </c>
      <c r="B15" s="52"/>
      <c r="C15" s="15">
        <f ca="1">(C7+C11)+(C8+C12)*INT(MAX(F21:F3531))</f>
        <v>58977.913831851009</v>
      </c>
      <c r="E15" s="16" t="s">
        <v>41</v>
      </c>
      <c r="F15" s="13">
        <v>1</v>
      </c>
    </row>
    <row r="16" spans="1:6" x14ac:dyDescent="0.2">
      <c r="A16" s="18" t="s">
        <v>4</v>
      </c>
      <c r="B16" s="52"/>
      <c r="C16" s="19">
        <f ca="1">+C8+C12</f>
        <v>0.40266525177320683</v>
      </c>
      <c r="E16" s="16" t="s">
        <v>30</v>
      </c>
      <c r="F16" s="17">
        <f ca="1">NOW()+15018.5+$C$5/24</f>
        <v>60326.612422222221</v>
      </c>
    </row>
    <row r="17" spans="1:21" ht="13.5" thickBot="1" x14ac:dyDescent="0.25">
      <c r="A17" s="16" t="s">
        <v>27</v>
      </c>
      <c r="B17" s="52"/>
      <c r="C17" s="12">
        <f>COUNT(C21:C2189)</f>
        <v>20</v>
      </c>
      <c r="E17" s="16" t="s">
        <v>42</v>
      </c>
      <c r="F17" s="17">
        <f ca="1">ROUND(2*(F16-$C$7)/$C$8,0)/2+F15</f>
        <v>13340.5</v>
      </c>
    </row>
    <row r="18" spans="1:21" ht="14.25" thickTop="1" thickBot="1" x14ac:dyDescent="0.25">
      <c r="A18" s="18" t="s">
        <v>5</v>
      </c>
      <c r="B18" s="52"/>
      <c r="C18" s="21">
        <f ca="1">+C15</f>
        <v>58977.913831851009</v>
      </c>
      <c r="D18" s="22">
        <f ca="1">+C16</f>
        <v>0.40266525177320683</v>
      </c>
      <c r="E18" s="16" t="s">
        <v>31</v>
      </c>
      <c r="F18" s="25">
        <f ca="1">ROUND(2*(F16-$C$15)/$C$16,0)/2+F15</f>
        <v>3350.5</v>
      </c>
    </row>
    <row r="19" spans="1:21" ht="13.5" thickTop="1" x14ac:dyDescent="0.2">
      <c r="E19" s="16" t="s">
        <v>32</v>
      </c>
      <c r="F19" s="20">
        <f ca="1">+$C$15+$C$16*F18-15018.5-$C$5/24</f>
        <v>45308.939591250477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60</v>
      </c>
      <c r="J20" s="7" t="s">
        <v>54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36" t="s">
        <v>48</v>
      </c>
    </row>
    <row r="21" spans="1:21" x14ac:dyDescent="0.2">
      <c r="A21" s="50" t="s">
        <v>66</v>
      </c>
      <c r="B21" s="53" t="s">
        <v>44</v>
      </c>
      <c r="C21" s="51">
        <v>37669.224000000002</v>
      </c>
      <c r="D21" s="51" t="s">
        <v>60</v>
      </c>
      <c r="E21">
        <f t="shared" ref="E21:E28" si="0">+(C21-C$7)/C$8</f>
        <v>-42929.572567246396</v>
      </c>
      <c r="F21">
        <f t="shared" ref="F21:F40" si="1">ROUND(2*E21,0)/2</f>
        <v>-42929.5</v>
      </c>
      <c r="G21">
        <f t="shared" ref="G21:G28" si="2">+C21-(C$7+F21*C$8)</f>
        <v>-2.9219999996712431E-2</v>
      </c>
      <c r="I21">
        <f t="shared" ref="I21:I28" si="3">+G21</f>
        <v>-2.9219999996712431E-2</v>
      </c>
      <c r="O21">
        <f t="shared" ref="O21:O28" ca="1" si="4">+C$11+C$12*$F21</f>
        <v>-0.18317936121256423</v>
      </c>
      <c r="Q21" s="2">
        <f t="shared" ref="Q21:Q28" si="5">+C21-15018.5</f>
        <v>22650.724000000002</v>
      </c>
      <c r="R21" s="2"/>
      <c r="S21" s="2"/>
      <c r="T21" s="2"/>
    </row>
    <row r="22" spans="1:21" x14ac:dyDescent="0.2">
      <c r="A22" s="50" t="s">
        <v>66</v>
      </c>
      <c r="B22" s="53" t="s">
        <v>38</v>
      </c>
      <c r="C22" s="51">
        <v>37906.559999999998</v>
      </c>
      <c r="D22" s="51" t="s">
        <v>60</v>
      </c>
      <c r="E22">
        <f t="shared" si="0"/>
        <v>-42340.153676417649</v>
      </c>
      <c r="F22">
        <f t="shared" si="1"/>
        <v>-42340</v>
      </c>
      <c r="G22">
        <f t="shared" si="2"/>
        <v>-6.1879500004579313E-2</v>
      </c>
      <c r="I22">
        <f t="shared" si="3"/>
        <v>-6.1879500004579313E-2</v>
      </c>
      <c r="O22">
        <f t="shared" ca="1" si="4"/>
        <v>-0.18067294090713731</v>
      </c>
      <c r="Q22" s="2">
        <f t="shared" si="5"/>
        <v>22888.059999999998</v>
      </c>
      <c r="R22" s="2"/>
      <c r="S22" s="2"/>
      <c r="T22" s="2"/>
    </row>
    <row r="23" spans="1:21" x14ac:dyDescent="0.2">
      <c r="A23" s="50" t="s">
        <v>66</v>
      </c>
      <c r="B23" s="53" t="s">
        <v>44</v>
      </c>
      <c r="C23" s="51">
        <v>37907.572999999997</v>
      </c>
      <c r="D23" s="51" t="s">
        <v>60</v>
      </c>
      <c r="E23">
        <f t="shared" si="0"/>
        <v>-42337.637912536862</v>
      </c>
      <c r="F23">
        <f t="shared" si="1"/>
        <v>-42337.5</v>
      </c>
      <c r="G23">
        <f t="shared" si="2"/>
        <v>-5.5532000005769078E-2</v>
      </c>
      <c r="I23">
        <f t="shared" si="3"/>
        <v>-5.5532000005769078E-2</v>
      </c>
      <c r="O23">
        <f t="shared" ca="1" si="4"/>
        <v>-0.18066231147412024</v>
      </c>
      <c r="Q23" s="2">
        <f t="shared" si="5"/>
        <v>22889.072999999997</v>
      </c>
      <c r="R23" s="2"/>
      <c r="S23" s="2"/>
      <c r="T23" s="2"/>
    </row>
    <row r="24" spans="1:21" x14ac:dyDescent="0.2">
      <c r="A24" s="50" t="s">
        <v>66</v>
      </c>
      <c r="B24" s="53" t="s">
        <v>44</v>
      </c>
      <c r="C24" s="51">
        <v>37911.567999999999</v>
      </c>
      <c r="D24" s="51" t="s">
        <v>60</v>
      </c>
      <c r="E24">
        <f t="shared" si="0"/>
        <v>-42327.716415297247</v>
      </c>
      <c r="F24">
        <f t="shared" si="1"/>
        <v>-42327.5</v>
      </c>
      <c r="G24">
        <f t="shared" si="2"/>
        <v>-8.714200000395067E-2</v>
      </c>
      <c r="I24">
        <f t="shared" si="3"/>
        <v>-8.714200000395067E-2</v>
      </c>
      <c r="O24">
        <f t="shared" ca="1" si="4"/>
        <v>-0.18061979374205192</v>
      </c>
      <c r="Q24" s="2">
        <f t="shared" si="5"/>
        <v>22893.067999999999</v>
      </c>
      <c r="R24" s="2"/>
      <c r="S24" s="2"/>
      <c r="T24" s="2"/>
    </row>
    <row r="25" spans="1:21" x14ac:dyDescent="0.2">
      <c r="A25" s="50" t="s">
        <v>66</v>
      </c>
      <c r="B25" s="53" t="s">
        <v>44</v>
      </c>
      <c r="C25" s="51">
        <v>37917.618999999999</v>
      </c>
      <c r="D25" s="51" t="s">
        <v>60</v>
      </c>
      <c r="E25">
        <f t="shared" si="0"/>
        <v>-42312.688885936317</v>
      </c>
      <c r="F25">
        <f t="shared" si="1"/>
        <v>-42312.5</v>
      </c>
      <c r="G25">
        <f t="shared" si="2"/>
        <v>-7.6057000005675945E-2</v>
      </c>
      <c r="I25">
        <f t="shared" si="3"/>
        <v>-7.6057000005675945E-2</v>
      </c>
      <c r="O25">
        <f t="shared" ca="1" si="4"/>
        <v>-0.18055601714394945</v>
      </c>
      <c r="Q25" s="2">
        <f t="shared" si="5"/>
        <v>22899.118999999999</v>
      </c>
      <c r="R25" s="2"/>
      <c r="S25" s="2"/>
      <c r="T25" s="2"/>
    </row>
    <row r="26" spans="1:21" x14ac:dyDescent="0.2">
      <c r="A26" s="50" t="s">
        <v>66</v>
      </c>
      <c r="B26" s="53" t="s">
        <v>44</v>
      </c>
      <c r="C26" s="51">
        <v>37934.544000000002</v>
      </c>
      <c r="D26" s="51" t="s">
        <v>60</v>
      </c>
      <c r="E26">
        <f t="shared" si="0"/>
        <v>-42270.656009645834</v>
      </c>
      <c r="F26">
        <f t="shared" si="1"/>
        <v>-42270.5</v>
      </c>
      <c r="G26">
        <f t="shared" si="2"/>
        <v>-6.28190000061295E-2</v>
      </c>
      <c r="I26">
        <f t="shared" si="3"/>
        <v>-6.28190000061295E-2</v>
      </c>
      <c r="O26">
        <f t="shared" ca="1" si="4"/>
        <v>-0.18037744266926256</v>
      </c>
      <c r="Q26" s="2">
        <f t="shared" si="5"/>
        <v>22916.044000000002</v>
      </c>
      <c r="R26" s="2"/>
      <c r="S26" s="2"/>
      <c r="T26" s="2"/>
    </row>
    <row r="27" spans="1:21" x14ac:dyDescent="0.2">
      <c r="A27" s="50" t="s">
        <v>66</v>
      </c>
      <c r="B27" s="53" t="s">
        <v>44</v>
      </c>
      <c r="C27" s="51">
        <v>37941.413999999997</v>
      </c>
      <c r="D27" s="51" t="s">
        <v>60</v>
      </c>
      <c r="E27">
        <f t="shared" si="0"/>
        <v>-42253.594511263829</v>
      </c>
      <c r="F27">
        <f t="shared" si="1"/>
        <v>-42253.5</v>
      </c>
      <c r="G27">
        <f t="shared" si="2"/>
        <v>-3.8056000004871748E-2</v>
      </c>
      <c r="I27">
        <f t="shared" si="3"/>
        <v>-3.8056000004871748E-2</v>
      </c>
      <c r="O27">
        <f t="shared" ca="1" si="4"/>
        <v>-0.18030516252474643</v>
      </c>
      <c r="Q27" s="2">
        <f t="shared" si="5"/>
        <v>22922.913999999997</v>
      </c>
      <c r="R27" s="2"/>
      <c r="S27" s="2"/>
      <c r="T27" s="2"/>
    </row>
    <row r="28" spans="1:21" x14ac:dyDescent="0.2">
      <c r="A28" s="50" t="s">
        <v>66</v>
      </c>
      <c r="B28" s="53" t="s">
        <v>44</v>
      </c>
      <c r="C28" s="51">
        <v>37970.379999999997</v>
      </c>
      <c r="D28" s="51" t="s">
        <v>60</v>
      </c>
      <c r="E28">
        <f t="shared" si="0"/>
        <v>-42181.658068449651</v>
      </c>
      <c r="F28">
        <f t="shared" si="1"/>
        <v>-42181.5</v>
      </c>
      <c r="G28">
        <f t="shared" si="2"/>
        <v>-6.3648000003013294E-2</v>
      </c>
      <c r="I28">
        <f t="shared" si="3"/>
        <v>-6.3648000003013294E-2</v>
      </c>
      <c r="O28">
        <f t="shared" ca="1" si="4"/>
        <v>-0.1799990348538546</v>
      </c>
      <c r="Q28" s="2">
        <f t="shared" si="5"/>
        <v>22951.879999999997</v>
      </c>
      <c r="R28" s="2"/>
      <c r="S28" s="2"/>
      <c r="T28" s="2"/>
    </row>
    <row r="29" spans="1:21" x14ac:dyDescent="0.2">
      <c r="A29" s="50" t="s">
        <v>66</v>
      </c>
      <c r="B29" s="53" t="s">
        <v>44</v>
      </c>
      <c r="C29" s="51">
        <v>38001.383000000002</v>
      </c>
      <c r="D29" s="51" t="s">
        <v>60</v>
      </c>
      <c r="E29">
        <f t="shared" ref="E29:E40" si="6">+(C29-C$7)/C$8</f>
        <v>-42104.662779608654</v>
      </c>
      <c r="F29">
        <f t="shared" si="1"/>
        <v>-42104.5</v>
      </c>
      <c r="G29">
        <f t="shared" ref="G29:G40" si="7">+C29-(C$7+F29*C$8)</f>
        <v>-6.5545000004931353E-2</v>
      </c>
      <c r="I29">
        <f>+G29</f>
        <v>-6.5545000004931353E-2</v>
      </c>
      <c r="O29">
        <f t="shared" ref="O29:O40" ca="1" si="8">+C$11+C$12*$F29</f>
        <v>-0.17967164831692858</v>
      </c>
      <c r="Q29" s="2">
        <f t="shared" ref="Q29:Q40" si="9">+C29-15018.5</f>
        <v>22982.883000000002</v>
      </c>
      <c r="R29" s="2"/>
      <c r="S29" s="2"/>
      <c r="T29" s="2"/>
    </row>
    <row r="30" spans="1:21" x14ac:dyDescent="0.2">
      <c r="A30" s="28" t="s">
        <v>39</v>
      </c>
      <c r="B30" s="29" t="s">
        <v>38</v>
      </c>
      <c r="C30" s="28">
        <v>54343.439409999999</v>
      </c>
      <c r="D30" s="28">
        <v>2.0000000000000001E-4</v>
      </c>
      <c r="E30">
        <f t="shared" si="6"/>
        <v>-1519.5144538458003</v>
      </c>
      <c r="F30">
        <f t="shared" si="1"/>
        <v>-1519.5</v>
      </c>
      <c r="G30">
        <f t="shared" si="7"/>
        <v>-5.8200000057695433E-3</v>
      </c>
      <c r="K30">
        <f t="shared" ref="K30:K40" si="10">+G30</f>
        <v>-5.8200000057695433E-3</v>
      </c>
      <c r="O30">
        <f t="shared" ca="1" si="8"/>
        <v>-7.11343271768956E-3</v>
      </c>
      <c r="Q30" s="2">
        <f t="shared" si="9"/>
        <v>39324.939409999999</v>
      </c>
      <c r="R30" s="2"/>
      <c r="S30" s="2"/>
      <c r="T30" s="2"/>
    </row>
    <row r="31" spans="1:21" x14ac:dyDescent="0.2">
      <c r="A31" s="30" t="s">
        <v>37</v>
      </c>
      <c r="B31" s="31" t="s">
        <v>38</v>
      </c>
      <c r="C31" s="32">
        <v>54955.489950000003</v>
      </c>
      <c r="D31" s="32">
        <v>2.0000000000000001E-4</v>
      </c>
      <c r="E31">
        <f t="shared" si="6"/>
        <v>0.50000000000009948</v>
      </c>
      <c r="F31">
        <f t="shared" si="1"/>
        <v>0.5</v>
      </c>
      <c r="G31">
        <f t="shared" si="7"/>
        <v>0</v>
      </c>
      <c r="K31">
        <f t="shared" si="10"/>
        <v>0</v>
      </c>
      <c r="O31">
        <f t="shared" ca="1" si="8"/>
        <v>-6.5073744330633161E-4</v>
      </c>
      <c r="Q31" s="2">
        <f t="shared" si="9"/>
        <v>39936.989950000003</v>
      </c>
      <c r="R31" s="2"/>
      <c r="S31" s="2"/>
      <c r="T31" s="2"/>
    </row>
    <row r="32" spans="1:21" x14ac:dyDescent="0.2">
      <c r="A32" s="30" t="s">
        <v>43</v>
      </c>
      <c r="B32" s="31" t="s">
        <v>44</v>
      </c>
      <c r="C32" s="32">
        <v>55168.294620000001</v>
      </c>
      <c r="D32" s="32">
        <v>4.0000000000000002E-4</v>
      </c>
      <c r="E32">
        <f t="shared" si="6"/>
        <v>528.99585631585319</v>
      </c>
      <c r="F32">
        <f t="shared" si="1"/>
        <v>529</v>
      </c>
      <c r="G32">
        <f t="shared" si="7"/>
        <v>-1.6685000009601936E-3</v>
      </c>
      <c r="K32">
        <f t="shared" si="10"/>
        <v>-1.6685000009601936E-3</v>
      </c>
      <c r="O32">
        <f t="shared" ca="1" si="8"/>
        <v>1.5963246965038898E-3</v>
      </c>
      <c r="Q32" s="2">
        <f t="shared" si="9"/>
        <v>40149.794620000001</v>
      </c>
      <c r="R32" s="2"/>
      <c r="S32" s="2"/>
      <c r="T32" s="2"/>
    </row>
    <row r="33" spans="1:20" x14ac:dyDescent="0.2">
      <c r="A33" s="33" t="s">
        <v>40</v>
      </c>
      <c r="B33" s="31"/>
      <c r="C33" s="32">
        <v>55322.920700000002</v>
      </c>
      <c r="D33" s="32">
        <v>2.0000000000000001E-4</v>
      </c>
      <c r="E33">
        <f t="shared" si="6"/>
        <v>913.00642600102708</v>
      </c>
      <c r="F33">
        <f t="shared" si="1"/>
        <v>913</v>
      </c>
      <c r="G33">
        <f t="shared" si="7"/>
        <v>2.5874999992083758E-3</v>
      </c>
      <c r="K33">
        <f t="shared" si="10"/>
        <v>2.5874999992083758E-3</v>
      </c>
      <c r="O33">
        <f t="shared" ca="1" si="8"/>
        <v>3.2290056079270213E-3</v>
      </c>
      <c r="Q33" s="2">
        <f t="shared" si="9"/>
        <v>40304.420700000002</v>
      </c>
      <c r="R33" s="2"/>
      <c r="S33" s="2"/>
      <c r="T33" s="2"/>
    </row>
    <row r="34" spans="1:20" x14ac:dyDescent="0.2">
      <c r="A34" s="54" t="s">
        <v>47</v>
      </c>
      <c r="B34" s="55" t="s">
        <v>44</v>
      </c>
      <c r="C34" s="56">
        <v>55672.434820000002</v>
      </c>
      <c r="D34" s="56">
        <v>2.9999999999999997E-4</v>
      </c>
      <c r="E34">
        <f t="shared" si="6"/>
        <v>1781.0172837697205</v>
      </c>
      <c r="F34">
        <f t="shared" si="1"/>
        <v>1781</v>
      </c>
      <c r="G34">
        <f t="shared" si="7"/>
        <v>6.9595000022673048E-3</v>
      </c>
      <c r="K34">
        <f t="shared" si="10"/>
        <v>6.9595000022673048E-3</v>
      </c>
      <c r="O34">
        <f t="shared" ca="1" si="8"/>
        <v>6.9195447514563916E-3</v>
      </c>
      <c r="Q34" s="2">
        <f t="shared" si="9"/>
        <v>40653.934820000002</v>
      </c>
      <c r="R34" s="2"/>
      <c r="S34" s="2"/>
      <c r="T34" s="2"/>
    </row>
    <row r="35" spans="1:20" x14ac:dyDescent="0.2">
      <c r="A35" s="34" t="s">
        <v>45</v>
      </c>
      <c r="B35" s="35" t="s">
        <v>44</v>
      </c>
      <c r="C35" s="34">
        <v>55730.825599999996</v>
      </c>
      <c r="D35" s="34">
        <v>8.0000000000000004E-4</v>
      </c>
      <c r="E35">
        <f t="shared" si="6"/>
        <v>1926.0295397368845</v>
      </c>
      <c r="F35">
        <f t="shared" si="1"/>
        <v>1926</v>
      </c>
      <c r="G35">
        <f t="shared" si="7"/>
        <v>1.1894499992195051E-2</v>
      </c>
      <c r="K35">
        <f t="shared" si="10"/>
        <v>1.1894499992195051E-2</v>
      </c>
      <c r="O35">
        <f t="shared" ca="1" si="8"/>
        <v>7.5360518664468971E-3</v>
      </c>
      <c r="Q35" s="2">
        <f t="shared" si="9"/>
        <v>40712.325599999996</v>
      </c>
      <c r="R35" s="2"/>
      <c r="S35" s="2"/>
      <c r="T35" s="2"/>
    </row>
    <row r="36" spans="1:20" x14ac:dyDescent="0.2">
      <c r="A36" s="33" t="s">
        <v>46</v>
      </c>
      <c r="B36" s="31"/>
      <c r="C36" s="32">
        <v>56119.796199999997</v>
      </c>
      <c r="D36" s="32">
        <v>4.0000000000000002E-4</v>
      </c>
      <c r="E36">
        <f t="shared" si="6"/>
        <v>2892.0297235143066</v>
      </c>
      <c r="F36">
        <f t="shared" si="1"/>
        <v>2892</v>
      </c>
      <c r="G36">
        <f t="shared" si="7"/>
        <v>1.1968499995418824E-2</v>
      </c>
      <c r="K36">
        <f t="shared" si="10"/>
        <v>1.1968499995418824E-2</v>
      </c>
      <c r="O36">
        <f t="shared" ca="1" si="8"/>
        <v>1.1643264784245712E-2</v>
      </c>
      <c r="Q36" s="2">
        <f t="shared" si="9"/>
        <v>41101.296199999997</v>
      </c>
      <c r="R36" s="2"/>
      <c r="S36" s="2"/>
      <c r="T36" s="2"/>
    </row>
    <row r="37" spans="1:20" x14ac:dyDescent="0.2">
      <c r="A37" s="57" t="s">
        <v>128</v>
      </c>
      <c r="B37" s="58" t="s">
        <v>44</v>
      </c>
      <c r="C37" s="59">
        <v>57121.623330000002</v>
      </c>
      <c r="D37" s="59">
        <v>2.9999999999999997E-4</v>
      </c>
      <c r="E37">
        <f t="shared" si="6"/>
        <v>5380.0460201012747</v>
      </c>
      <c r="F37">
        <f t="shared" si="1"/>
        <v>5380</v>
      </c>
      <c r="G37">
        <f t="shared" si="7"/>
        <v>1.8530499997723382E-2</v>
      </c>
      <c r="K37">
        <f t="shared" si="10"/>
        <v>1.8530499997723382E-2</v>
      </c>
      <c r="O37">
        <f t="shared" ca="1" si="8"/>
        <v>2.2221676522841419E-2</v>
      </c>
      <c r="Q37" s="2">
        <f t="shared" si="9"/>
        <v>42103.123330000002</v>
      </c>
    </row>
    <row r="38" spans="1:20" x14ac:dyDescent="0.2">
      <c r="A38" s="33" t="s">
        <v>127</v>
      </c>
      <c r="C38" s="10">
        <v>57179.811399999999</v>
      </c>
      <c r="D38" s="10">
        <v>4.0000000000000002E-4</v>
      </c>
      <c r="E38">
        <f t="shared" si="6"/>
        <v>5524.5548501096355</v>
      </c>
      <c r="F38">
        <f t="shared" si="1"/>
        <v>5524.5</v>
      </c>
      <c r="G38">
        <f t="shared" si="7"/>
        <v>2.2085999997216277E-2</v>
      </c>
      <c r="K38">
        <f t="shared" si="10"/>
        <v>2.2085999997216277E-2</v>
      </c>
      <c r="O38">
        <f t="shared" ca="1" si="8"/>
        <v>2.283605775122851E-2</v>
      </c>
      <c r="Q38" s="2">
        <f t="shared" si="9"/>
        <v>42161.311399999999</v>
      </c>
      <c r="R38" s="2"/>
      <c r="S38" s="2"/>
      <c r="T38" s="2"/>
    </row>
    <row r="39" spans="1:20" x14ac:dyDescent="0.2">
      <c r="A39" s="5" t="s">
        <v>129</v>
      </c>
      <c r="C39" s="10">
        <v>57908.836799999997</v>
      </c>
      <c r="D39" s="10">
        <v>1E-4</v>
      </c>
      <c r="E39">
        <f t="shared" si="6"/>
        <v>7335.073872314415</v>
      </c>
      <c r="F39">
        <f t="shared" si="1"/>
        <v>7335</v>
      </c>
      <c r="G39">
        <f t="shared" si="7"/>
        <v>2.9745499996352009E-2</v>
      </c>
      <c r="K39">
        <f t="shared" si="10"/>
        <v>2.9745499996352009E-2</v>
      </c>
      <c r="O39">
        <f t="shared" ca="1" si="8"/>
        <v>3.0533893142196164E-2</v>
      </c>
      <c r="Q39" s="2">
        <f t="shared" si="9"/>
        <v>42890.336799999997</v>
      </c>
    </row>
    <row r="40" spans="1:20" x14ac:dyDescent="0.2">
      <c r="A40" s="5" t="s">
        <v>130</v>
      </c>
      <c r="C40" s="10">
        <v>58977.916299999997</v>
      </c>
      <c r="D40" s="10">
        <v>2.0000000000000001E-4</v>
      </c>
      <c r="E40">
        <f t="shared" si="6"/>
        <v>9990.1099945114984</v>
      </c>
      <c r="F40">
        <f t="shared" si="1"/>
        <v>9990</v>
      </c>
      <c r="G40">
        <f t="shared" si="7"/>
        <v>4.4290499994531274E-2</v>
      </c>
      <c r="K40">
        <f t="shared" si="10"/>
        <v>4.4290499994531274E-2</v>
      </c>
      <c r="O40">
        <f t="shared" ca="1" si="8"/>
        <v>4.1822351006332657E-2</v>
      </c>
      <c r="Q40" s="2">
        <f t="shared" si="9"/>
        <v>43959.416299999997</v>
      </c>
    </row>
    <row r="41" spans="1:20" x14ac:dyDescent="0.2">
      <c r="C41" s="10"/>
      <c r="D41" s="10"/>
    </row>
    <row r="42" spans="1:20" x14ac:dyDescent="0.2">
      <c r="C42" s="10"/>
      <c r="D42" s="10"/>
    </row>
    <row r="43" spans="1:20" x14ac:dyDescent="0.2">
      <c r="C43" s="10"/>
      <c r="D43" s="10"/>
    </row>
    <row r="44" spans="1:20" x14ac:dyDescent="0.2">
      <c r="C44" s="10"/>
      <c r="D44" s="10"/>
    </row>
    <row r="45" spans="1:20" x14ac:dyDescent="0.2">
      <c r="C45" s="10"/>
      <c r="D45" s="10"/>
    </row>
    <row r="46" spans="1:20" x14ac:dyDescent="0.2">
      <c r="C46" s="10"/>
      <c r="D46" s="10"/>
    </row>
    <row r="47" spans="1:20" x14ac:dyDescent="0.2">
      <c r="C47" s="10"/>
      <c r="D47" s="10"/>
    </row>
    <row r="48" spans="1:20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phoneticPr fontId="8" type="noConversion"/>
  <hyperlinks>
    <hyperlink ref="H73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0"/>
  <sheetViews>
    <sheetView topLeftCell="A4" workbookViewId="0">
      <selection activeCell="A16" sqref="A16:D2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50</v>
      </c>
      <c r="I1" s="38" t="s">
        <v>51</v>
      </c>
      <c r="J1" s="39" t="s">
        <v>52</v>
      </c>
    </row>
    <row r="2" spans="1:16" x14ac:dyDescent="0.2">
      <c r="I2" s="40" t="s">
        <v>53</v>
      </c>
      <c r="J2" s="41" t="s">
        <v>54</v>
      </c>
    </row>
    <row r="3" spans="1:16" x14ac:dyDescent="0.2">
      <c r="A3" s="42" t="s">
        <v>55</v>
      </c>
      <c r="I3" s="40" t="s">
        <v>56</v>
      </c>
      <c r="J3" s="41" t="s">
        <v>57</v>
      </c>
    </row>
    <row r="4" spans="1:16" x14ac:dyDescent="0.2">
      <c r="I4" s="40" t="s">
        <v>58</v>
      </c>
      <c r="J4" s="41" t="s">
        <v>57</v>
      </c>
    </row>
    <row r="5" spans="1:16" ht="13.5" thickBot="1" x14ac:dyDescent="0.25">
      <c r="I5" s="43" t="s">
        <v>59</v>
      </c>
      <c r="J5" s="44" t="s">
        <v>60</v>
      </c>
    </row>
    <row r="10" spans="1:16" ht="13.5" thickBot="1" x14ac:dyDescent="0.25"/>
    <row r="11" spans="1:16" ht="12.75" customHeight="1" thickBot="1" x14ac:dyDescent="0.25">
      <c r="A11" s="10" t="str">
        <f t="shared" ref="A11:A26" si="0">P11</f>
        <v>OEJV 0074 </v>
      </c>
      <c r="B11" s="3" t="str">
        <f t="shared" ref="B11:B26" si="1">IF(H11=INT(H11),"I","II")</f>
        <v>II</v>
      </c>
      <c r="C11" s="10">
        <f t="shared" ref="C11:C26" si="2">1*G11</f>
        <v>54343.439409999999</v>
      </c>
      <c r="D11" s="12" t="str">
        <f t="shared" ref="D11:D26" si="3">VLOOKUP(F11,I$1:J$5,2,FALSE)</f>
        <v>vis</v>
      </c>
      <c r="E11" s="45">
        <f>VLOOKUP(C11,Active!C$21:E$971,3,FALSE)</f>
        <v>-1519.5144538458003</v>
      </c>
      <c r="F11" s="3" t="s">
        <v>59</v>
      </c>
      <c r="G11" s="12" t="str">
        <f t="shared" ref="G11:G26" si="4">MID(I11,3,LEN(I11)-3)</f>
        <v>54343.43941</v>
      </c>
      <c r="H11" s="10">
        <f t="shared" ref="H11:H26" si="5">1*K11</f>
        <v>4577.5</v>
      </c>
      <c r="I11" s="46" t="s">
        <v>91</v>
      </c>
      <c r="J11" s="47" t="s">
        <v>92</v>
      </c>
      <c r="K11" s="46">
        <v>4577.5</v>
      </c>
      <c r="L11" s="46" t="s">
        <v>93</v>
      </c>
      <c r="M11" s="47" t="s">
        <v>94</v>
      </c>
      <c r="N11" s="47" t="s">
        <v>95</v>
      </c>
      <c r="O11" s="48" t="s">
        <v>96</v>
      </c>
      <c r="P11" s="49" t="s">
        <v>97</v>
      </c>
    </row>
    <row r="12" spans="1:16" ht="12.75" customHeight="1" thickBot="1" x14ac:dyDescent="0.25">
      <c r="A12" s="10" t="str">
        <f t="shared" si="0"/>
        <v>IBVS 5966 </v>
      </c>
      <c r="B12" s="3" t="str">
        <f t="shared" si="1"/>
        <v>I</v>
      </c>
      <c r="C12" s="10">
        <f t="shared" si="2"/>
        <v>55322.920700000002</v>
      </c>
      <c r="D12" s="12" t="str">
        <f t="shared" si="3"/>
        <v>vis</v>
      </c>
      <c r="E12" s="45">
        <f>VLOOKUP(C12,Active!C$21:E$971,3,FALSE)</f>
        <v>913.00642600102708</v>
      </c>
      <c r="F12" s="3" t="s">
        <v>59</v>
      </c>
      <c r="G12" s="12" t="str">
        <f t="shared" si="4"/>
        <v>55322.9207</v>
      </c>
      <c r="H12" s="10">
        <f t="shared" si="5"/>
        <v>7010</v>
      </c>
      <c r="I12" s="46" t="s">
        <v>108</v>
      </c>
      <c r="J12" s="47" t="s">
        <v>109</v>
      </c>
      <c r="K12" s="46">
        <v>7010</v>
      </c>
      <c r="L12" s="46" t="s">
        <v>110</v>
      </c>
      <c r="M12" s="47" t="s">
        <v>94</v>
      </c>
      <c r="N12" s="47" t="s">
        <v>95</v>
      </c>
      <c r="O12" s="48" t="s">
        <v>111</v>
      </c>
      <c r="P12" s="49" t="s">
        <v>112</v>
      </c>
    </row>
    <row r="13" spans="1:16" ht="12.75" customHeight="1" thickBot="1" x14ac:dyDescent="0.25">
      <c r="A13" s="10" t="str">
        <f t="shared" si="0"/>
        <v>OEJV 0160 </v>
      </c>
      <c r="B13" s="3" t="str">
        <f t="shared" si="1"/>
        <v>I</v>
      </c>
      <c r="C13" s="10">
        <f t="shared" si="2"/>
        <v>55672.434820000002</v>
      </c>
      <c r="D13" s="12" t="str">
        <f t="shared" si="3"/>
        <v>vis</v>
      </c>
      <c r="E13" s="45">
        <f>VLOOKUP(C13,Active!C$21:E$971,3,FALSE)</f>
        <v>1781.0172837697205</v>
      </c>
      <c r="F13" s="3" t="s">
        <v>59</v>
      </c>
      <c r="G13" s="12" t="str">
        <f t="shared" si="4"/>
        <v>55672.43482</v>
      </c>
      <c r="H13" s="10">
        <f t="shared" si="5"/>
        <v>7878</v>
      </c>
      <c r="I13" s="46" t="s">
        <v>113</v>
      </c>
      <c r="J13" s="47" t="s">
        <v>114</v>
      </c>
      <c r="K13" s="46">
        <v>7878</v>
      </c>
      <c r="L13" s="46" t="s">
        <v>115</v>
      </c>
      <c r="M13" s="47" t="s">
        <v>94</v>
      </c>
      <c r="N13" s="47" t="s">
        <v>51</v>
      </c>
      <c r="O13" s="48" t="s">
        <v>116</v>
      </c>
      <c r="P13" s="49" t="s">
        <v>117</v>
      </c>
    </row>
    <row r="14" spans="1:16" ht="12.75" customHeight="1" thickBot="1" x14ac:dyDescent="0.25">
      <c r="A14" s="10" t="str">
        <f t="shared" si="0"/>
        <v>IBVS 5992 </v>
      </c>
      <c r="B14" s="3" t="str">
        <f t="shared" si="1"/>
        <v>I</v>
      </c>
      <c r="C14" s="10">
        <f t="shared" si="2"/>
        <v>55730.825599999996</v>
      </c>
      <c r="D14" s="12" t="str">
        <f t="shared" si="3"/>
        <v>vis</v>
      </c>
      <c r="E14" s="45">
        <f>VLOOKUP(C14,Active!C$21:E$971,3,FALSE)</f>
        <v>1926.0295397368845</v>
      </c>
      <c r="F14" s="3" t="s">
        <v>59</v>
      </c>
      <c r="G14" s="12" t="str">
        <f t="shared" si="4"/>
        <v>55730.8256</v>
      </c>
      <c r="H14" s="10">
        <f t="shared" si="5"/>
        <v>8023</v>
      </c>
      <c r="I14" s="46" t="s">
        <v>118</v>
      </c>
      <c r="J14" s="47" t="s">
        <v>119</v>
      </c>
      <c r="K14" s="46">
        <v>8023</v>
      </c>
      <c r="L14" s="46" t="s">
        <v>120</v>
      </c>
      <c r="M14" s="47" t="s">
        <v>94</v>
      </c>
      <c r="N14" s="47" t="s">
        <v>59</v>
      </c>
      <c r="O14" s="48" t="s">
        <v>121</v>
      </c>
      <c r="P14" s="49" t="s">
        <v>122</v>
      </c>
    </row>
    <row r="15" spans="1:16" ht="12.75" customHeight="1" thickBot="1" x14ac:dyDescent="0.25">
      <c r="A15" s="10" t="str">
        <f t="shared" si="0"/>
        <v>IBVS 6050 </v>
      </c>
      <c r="B15" s="3" t="str">
        <f t="shared" si="1"/>
        <v>I</v>
      </c>
      <c r="C15" s="10">
        <f t="shared" si="2"/>
        <v>56119.796199999997</v>
      </c>
      <c r="D15" s="12" t="str">
        <f t="shared" si="3"/>
        <v>vis</v>
      </c>
      <c r="E15" s="45">
        <f>VLOOKUP(C15,Active!C$21:E$971,3,FALSE)</f>
        <v>2892.0297235143066</v>
      </c>
      <c r="F15" s="3" t="s">
        <v>59</v>
      </c>
      <c r="G15" s="12" t="str">
        <f t="shared" si="4"/>
        <v>56119.7962</v>
      </c>
      <c r="H15" s="10">
        <f t="shared" si="5"/>
        <v>8989</v>
      </c>
      <c r="I15" s="46" t="s">
        <v>123</v>
      </c>
      <c r="J15" s="47" t="s">
        <v>124</v>
      </c>
      <c r="K15" s="46">
        <v>8989</v>
      </c>
      <c r="L15" s="46" t="s">
        <v>125</v>
      </c>
      <c r="M15" s="47" t="s">
        <v>94</v>
      </c>
      <c r="N15" s="47" t="s">
        <v>95</v>
      </c>
      <c r="O15" s="48" t="s">
        <v>111</v>
      </c>
      <c r="P15" s="49" t="s">
        <v>126</v>
      </c>
    </row>
    <row r="16" spans="1:16" ht="12.75" customHeight="1" thickBot="1" x14ac:dyDescent="0.25">
      <c r="A16" s="10" t="str">
        <f t="shared" si="0"/>
        <v> VSS 7.102 </v>
      </c>
      <c r="B16" s="3" t="str">
        <f t="shared" si="1"/>
        <v>I</v>
      </c>
      <c r="C16" s="10">
        <f t="shared" si="2"/>
        <v>37669.224000000002</v>
      </c>
      <c r="D16" s="12" t="str">
        <f t="shared" si="3"/>
        <v>vis</v>
      </c>
      <c r="E16" s="45">
        <f>VLOOKUP(C16,Active!C$21:E$971,3,FALSE)</f>
        <v>-42929.572567246396</v>
      </c>
      <c r="F16" s="3" t="s">
        <v>59</v>
      </c>
      <c r="G16" s="12" t="str">
        <f t="shared" si="4"/>
        <v>37669.224</v>
      </c>
      <c r="H16" s="10">
        <f t="shared" si="5"/>
        <v>-36832</v>
      </c>
      <c r="I16" s="46" t="s">
        <v>61</v>
      </c>
      <c r="J16" s="47" t="s">
        <v>62</v>
      </c>
      <c r="K16" s="46">
        <v>-36832</v>
      </c>
      <c r="L16" s="46" t="s">
        <v>63</v>
      </c>
      <c r="M16" s="47" t="s">
        <v>64</v>
      </c>
      <c r="N16" s="47"/>
      <c r="O16" s="48" t="s">
        <v>65</v>
      </c>
      <c r="P16" s="48" t="s">
        <v>66</v>
      </c>
    </row>
    <row r="17" spans="1:16" ht="12.75" customHeight="1" thickBot="1" x14ac:dyDescent="0.25">
      <c r="A17" s="10" t="str">
        <f t="shared" si="0"/>
        <v> VSS 7.102 </v>
      </c>
      <c r="B17" s="3" t="str">
        <f t="shared" si="1"/>
        <v>II</v>
      </c>
      <c r="C17" s="10">
        <f t="shared" si="2"/>
        <v>37906.559999999998</v>
      </c>
      <c r="D17" s="12" t="str">
        <f t="shared" si="3"/>
        <v>vis</v>
      </c>
      <c r="E17" s="45">
        <f>VLOOKUP(C17,Active!C$21:E$971,3,FALSE)</f>
        <v>-42340.153676417649</v>
      </c>
      <c r="F17" s="3" t="s">
        <v>59</v>
      </c>
      <c r="G17" s="12" t="str">
        <f t="shared" si="4"/>
        <v>37906.560</v>
      </c>
      <c r="H17" s="10">
        <f t="shared" si="5"/>
        <v>-36242.5</v>
      </c>
      <c r="I17" s="46" t="s">
        <v>67</v>
      </c>
      <c r="J17" s="47" t="s">
        <v>68</v>
      </c>
      <c r="K17" s="46">
        <v>-36242.5</v>
      </c>
      <c r="L17" s="46" t="s">
        <v>69</v>
      </c>
      <c r="M17" s="47" t="s">
        <v>64</v>
      </c>
      <c r="N17" s="47"/>
      <c r="O17" s="48" t="s">
        <v>65</v>
      </c>
      <c r="P17" s="48" t="s">
        <v>66</v>
      </c>
    </row>
    <row r="18" spans="1:16" ht="12.75" customHeight="1" thickBot="1" x14ac:dyDescent="0.25">
      <c r="A18" s="10" t="str">
        <f t="shared" si="0"/>
        <v> VSS 7.102 </v>
      </c>
      <c r="B18" s="3" t="str">
        <f t="shared" si="1"/>
        <v>I</v>
      </c>
      <c r="C18" s="10">
        <f t="shared" si="2"/>
        <v>37907.572999999997</v>
      </c>
      <c r="D18" s="12" t="str">
        <f t="shared" si="3"/>
        <v>vis</v>
      </c>
      <c r="E18" s="45">
        <f>VLOOKUP(C18,Active!C$21:E$971,3,FALSE)</f>
        <v>-42337.637912536862</v>
      </c>
      <c r="F18" s="3" t="s">
        <v>59</v>
      </c>
      <c r="G18" s="12" t="str">
        <f t="shared" si="4"/>
        <v>37907.573</v>
      </c>
      <c r="H18" s="10">
        <f t="shared" si="5"/>
        <v>-36240</v>
      </c>
      <c r="I18" s="46" t="s">
        <v>70</v>
      </c>
      <c r="J18" s="47" t="s">
        <v>71</v>
      </c>
      <c r="K18" s="46">
        <v>-36240</v>
      </c>
      <c r="L18" s="46" t="s">
        <v>72</v>
      </c>
      <c r="M18" s="47" t="s">
        <v>64</v>
      </c>
      <c r="N18" s="47"/>
      <c r="O18" s="48" t="s">
        <v>65</v>
      </c>
      <c r="P18" s="48" t="s">
        <v>66</v>
      </c>
    </row>
    <row r="19" spans="1:16" ht="12.75" customHeight="1" thickBot="1" x14ac:dyDescent="0.25">
      <c r="A19" s="10" t="str">
        <f t="shared" si="0"/>
        <v> VSS 7.102 </v>
      </c>
      <c r="B19" s="3" t="str">
        <f t="shared" si="1"/>
        <v>I</v>
      </c>
      <c r="C19" s="10">
        <f t="shared" si="2"/>
        <v>37911.567999999999</v>
      </c>
      <c r="D19" s="12" t="str">
        <f t="shared" si="3"/>
        <v>vis</v>
      </c>
      <c r="E19" s="45">
        <f>VLOOKUP(C19,Active!C$21:E$971,3,FALSE)</f>
        <v>-42327.716415297247</v>
      </c>
      <c r="F19" s="3" t="s">
        <v>59</v>
      </c>
      <c r="G19" s="12" t="str">
        <f t="shared" si="4"/>
        <v>37911.568</v>
      </c>
      <c r="H19" s="10">
        <f t="shared" si="5"/>
        <v>-36230</v>
      </c>
      <c r="I19" s="46" t="s">
        <v>73</v>
      </c>
      <c r="J19" s="47" t="s">
        <v>74</v>
      </c>
      <c r="K19" s="46">
        <v>-36230</v>
      </c>
      <c r="L19" s="46" t="s">
        <v>75</v>
      </c>
      <c r="M19" s="47" t="s">
        <v>64</v>
      </c>
      <c r="N19" s="47"/>
      <c r="O19" s="48" t="s">
        <v>65</v>
      </c>
      <c r="P19" s="48" t="s">
        <v>66</v>
      </c>
    </row>
    <row r="20" spans="1:16" ht="12.75" customHeight="1" thickBot="1" x14ac:dyDescent="0.25">
      <c r="A20" s="10" t="str">
        <f t="shared" si="0"/>
        <v> VSS 7.102 </v>
      </c>
      <c r="B20" s="3" t="str">
        <f t="shared" si="1"/>
        <v>I</v>
      </c>
      <c r="C20" s="10">
        <f t="shared" si="2"/>
        <v>37917.618999999999</v>
      </c>
      <c r="D20" s="12" t="str">
        <f t="shared" si="3"/>
        <v>vis</v>
      </c>
      <c r="E20" s="45">
        <f>VLOOKUP(C20,Active!C$21:E$971,3,FALSE)</f>
        <v>-42312.688885936317</v>
      </c>
      <c r="F20" s="3" t="s">
        <v>59</v>
      </c>
      <c r="G20" s="12" t="str">
        <f t="shared" si="4"/>
        <v>37917.619</v>
      </c>
      <c r="H20" s="10">
        <f t="shared" si="5"/>
        <v>-36215</v>
      </c>
      <c r="I20" s="46" t="s">
        <v>76</v>
      </c>
      <c r="J20" s="47" t="s">
        <v>77</v>
      </c>
      <c r="K20" s="46">
        <v>-36215</v>
      </c>
      <c r="L20" s="46" t="s">
        <v>78</v>
      </c>
      <c r="M20" s="47" t="s">
        <v>64</v>
      </c>
      <c r="N20" s="47"/>
      <c r="O20" s="48" t="s">
        <v>65</v>
      </c>
      <c r="P20" s="48" t="s">
        <v>66</v>
      </c>
    </row>
    <row r="21" spans="1:16" ht="12.75" customHeight="1" thickBot="1" x14ac:dyDescent="0.25">
      <c r="A21" s="10" t="str">
        <f t="shared" si="0"/>
        <v> VSS 7.102 </v>
      </c>
      <c r="B21" s="3" t="str">
        <f t="shared" si="1"/>
        <v>I</v>
      </c>
      <c r="C21" s="10">
        <f t="shared" si="2"/>
        <v>37934.544000000002</v>
      </c>
      <c r="D21" s="12" t="str">
        <f t="shared" si="3"/>
        <v>vis</v>
      </c>
      <c r="E21" s="45">
        <f>VLOOKUP(C21,Active!C$21:E$971,3,FALSE)</f>
        <v>-42270.656009645834</v>
      </c>
      <c r="F21" s="3" t="s">
        <v>59</v>
      </c>
      <c r="G21" s="12" t="str">
        <f t="shared" si="4"/>
        <v>37934.544</v>
      </c>
      <c r="H21" s="10">
        <f t="shared" si="5"/>
        <v>-36173</v>
      </c>
      <c r="I21" s="46" t="s">
        <v>79</v>
      </c>
      <c r="J21" s="47" t="s">
        <v>80</v>
      </c>
      <c r="K21" s="46">
        <v>-36173</v>
      </c>
      <c r="L21" s="46" t="s">
        <v>81</v>
      </c>
      <c r="M21" s="47" t="s">
        <v>64</v>
      </c>
      <c r="N21" s="47"/>
      <c r="O21" s="48" t="s">
        <v>65</v>
      </c>
      <c r="P21" s="48" t="s">
        <v>66</v>
      </c>
    </row>
    <row r="22" spans="1:16" ht="12.75" customHeight="1" thickBot="1" x14ac:dyDescent="0.25">
      <c r="A22" s="10" t="str">
        <f t="shared" si="0"/>
        <v> VSS 7.102 </v>
      </c>
      <c r="B22" s="3" t="str">
        <f t="shared" si="1"/>
        <v>I</v>
      </c>
      <c r="C22" s="10">
        <f t="shared" si="2"/>
        <v>37941.413999999997</v>
      </c>
      <c r="D22" s="12" t="str">
        <f t="shared" si="3"/>
        <v>vis</v>
      </c>
      <c r="E22" s="45">
        <f>VLOOKUP(C22,Active!C$21:E$971,3,FALSE)</f>
        <v>-42253.594511263829</v>
      </c>
      <c r="F22" s="3" t="s">
        <v>59</v>
      </c>
      <c r="G22" s="12" t="str">
        <f t="shared" si="4"/>
        <v>37941.414</v>
      </c>
      <c r="H22" s="10">
        <f t="shared" si="5"/>
        <v>-36156</v>
      </c>
      <c r="I22" s="46" t="s">
        <v>82</v>
      </c>
      <c r="J22" s="47" t="s">
        <v>83</v>
      </c>
      <c r="K22" s="46">
        <v>-36156</v>
      </c>
      <c r="L22" s="46" t="s">
        <v>84</v>
      </c>
      <c r="M22" s="47" t="s">
        <v>64</v>
      </c>
      <c r="N22" s="47"/>
      <c r="O22" s="48" t="s">
        <v>65</v>
      </c>
      <c r="P22" s="48" t="s">
        <v>66</v>
      </c>
    </row>
    <row r="23" spans="1:16" ht="12.75" customHeight="1" thickBot="1" x14ac:dyDescent="0.25">
      <c r="A23" s="10" t="str">
        <f t="shared" si="0"/>
        <v> VSS 7.102 </v>
      </c>
      <c r="B23" s="3" t="str">
        <f t="shared" si="1"/>
        <v>I</v>
      </c>
      <c r="C23" s="10">
        <f t="shared" si="2"/>
        <v>37970.379999999997</v>
      </c>
      <c r="D23" s="12" t="str">
        <f t="shared" si="3"/>
        <v>vis</v>
      </c>
      <c r="E23" s="45">
        <f>VLOOKUP(C23,Active!C$21:E$971,3,FALSE)</f>
        <v>-42181.658068449651</v>
      </c>
      <c r="F23" s="3" t="s">
        <v>59</v>
      </c>
      <c r="G23" s="12" t="str">
        <f t="shared" si="4"/>
        <v>37970.380</v>
      </c>
      <c r="H23" s="10">
        <f t="shared" si="5"/>
        <v>-36084</v>
      </c>
      <c r="I23" s="46" t="s">
        <v>85</v>
      </c>
      <c r="J23" s="47" t="s">
        <v>86</v>
      </c>
      <c r="K23" s="46">
        <v>-36084</v>
      </c>
      <c r="L23" s="46" t="s">
        <v>87</v>
      </c>
      <c r="M23" s="47" t="s">
        <v>64</v>
      </c>
      <c r="N23" s="47"/>
      <c r="O23" s="48" t="s">
        <v>65</v>
      </c>
      <c r="P23" s="48" t="s">
        <v>66</v>
      </c>
    </row>
    <row r="24" spans="1:16" ht="12.75" customHeight="1" thickBot="1" x14ac:dyDescent="0.25">
      <c r="A24" s="10" t="str">
        <f t="shared" si="0"/>
        <v> VSS 7.102 </v>
      </c>
      <c r="B24" s="3" t="str">
        <f t="shared" si="1"/>
        <v>I</v>
      </c>
      <c r="C24" s="10">
        <f t="shared" si="2"/>
        <v>38001.383000000002</v>
      </c>
      <c r="D24" s="12" t="str">
        <f t="shared" si="3"/>
        <v>vis</v>
      </c>
      <c r="E24" s="45">
        <f>VLOOKUP(C24,Active!C$21:E$971,3,FALSE)</f>
        <v>-42104.662779608654</v>
      </c>
      <c r="F24" s="3" t="s">
        <v>59</v>
      </c>
      <c r="G24" s="12" t="str">
        <f t="shared" si="4"/>
        <v>38001.383</v>
      </c>
      <c r="H24" s="10">
        <f t="shared" si="5"/>
        <v>-36007</v>
      </c>
      <c r="I24" s="46" t="s">
        <v>88</v>
      </c>
      <c r="J24" s="47" t="s">
        <v>89</v>
      </c>
      <c r="K24" s="46">
        <v>-36007</v>
      </c>
      <c r="L24" s="46" t="s">
        <v>90</v>
      </c>
      <c r="M24" s="47" t="s">
        <v>64</v>
      </c>
      <c r="N24" s="47"/>
      <c r="O24" s="48" t="s">
        <v>65</v>
      </c>
      <c r="P24" s="48" t="s">
        <v>66</v>
      </c>
    </row>
    <row r="25" spans="1:16" ht="12.75" customHeight="1" thickBot="1" x14ac:dyDescent="0.25">
      <c r="A25" s="10" t="str">
        <f t="shared" si="0"/>
        <v>OEJV 0107 </v>
      </c>
      <c r="B25" s="3" t="str">
        <f t="shared" si="1"/>
        <v>II</v>
      </c>
      <c r="C25" s="10">
        <f t="shared" si="2"/>
        <v>54955.4899</v>
      </c>
      <c r="D25" s="12" t="str">
        <f t="shared" si="3"/>
        <v>vis</v>
      </c>
      <c r="E25" s="45" t="e">
        <f>VLOOKUP(C25,Active!C$21:E$971,3,FALSE)</f>
        <v>#N/A</v>
      </c>
      <c r="F25" s="3" t="s">
        <v>59</v>
      </c>
      <c r="G25" s="12" t="str">
        <f t="shared" si="4"/>
        <v>54955.4899</v>
      </c>
      <c r="H25" s="10">
        <f t="shared" si="5"/>
        <v>6097.5</v>
      </c>
      <c r="I25" s="46" t="s">
        <v>98</v>
      </c>
      <c r="J25" s="47" t="s">
        <v>99</v>
      </c>
      <c r="K25" s="46">
        <v>6097.5</v>
      </c>
      <c r="L25" s="46" t="s">
        <v>100</v>
      </c>
      <c r="M25" s="47" t="s">
        <v>94</v>
      </c>
      <c r="N25" s="47" t="s">
        <v>95</v>
      </c>
      <c r="O25" s="48" t="s">
        <v>101</v>
      </c>
      <c r="P25" s="49" t="s">
        <v>102</v>
      </c>
    </row>
    <row r="26" spans="1:16" ht="12.75" customHeight="1" thickBot="1" x14ac:dyDescent="0.25">
      <c r="A26" s="10" t="str">
        <f t="shared" si="0"/>
        <v>OEJV 0137 </v>
      </c>
      <c r="B26" s="3" t="str">
        <f t="shared" si="1"/>
        <v>I</v>
      </c>
      <c r="C26" s="10">
        <f t="shared" si="2"/>
        <v>55168.294600000001</v>
      </c>
      <c r="D26" s="12" t="str">
        <f t="shared" si="3"/>
        <v>vis</v>
      </c>
      <c r="E26" s="45" t="e">
        <f>VLOOKUP(C26,Active!C$21:E$971,3,FALSE)</f>
        <v>#N/A</v>
      </c>
      <c r="F26" s="3" t="s">
        <v>59</v>
      </c>
      <c r="G26" s="12" t="str">
        <f t="shared" si="4"/>
        <v>55168.2946</v>
      </c>
      <c r="H26" s="10">
        <f t="shared" si="5"/>
        <v>6626</v>
      </c>
      <c r="I26" s="46" t="s">
        <v>103</v>
      </c>
      <c r="J26" s="47" t="s">
        <v>104</v>
      </c>
      <c r="K26" s="46">
        <v>6626</v>
      </c>
      <c r="L26" s="46" t="s">
        <v>105</v>
      </c>
      <c r="M26" s="47" t="s">
        <v>94</v>
      </c>
      <c r="N26" s="47" t="s">
        <v>95</v>
      </c>
      <c r="O26" s="48" t="s">
        <v>106</v>
      </c>
      <c r="P26" s="49" t="s">
        <v>107</v>
      </c>
    </row>
    <row r="27" spans="1:16" x14ac:dyDescent="0.2">
      <c r="B27" s="3"/>
      <c r="E27" s="45"/>
      <c r="F27" s="3"/>
    </row>
    <row r="28" spans="1:16" x14ac:dyDescent="0.2">
      <c r="B28" s="3"/>
      <c r="E28" s="45"/>
      <c r="F28" s="3"/>
    </row>
    <row r="29" spans="1:16" x14ac:dyDescent="0.2">
      <c r="B29" s="3"/>
      <c r="E29" s="45"/>
      <c r="F29" s="3"/>
    </row>
    <row r="30" spans="1:16" x14ac:dyDescent="0.2">
      <c r="B30" s="3"/>
      <c r="E30" s="45"/>
      <c r="F30" s="3"/>
    </row>
    <row r="31" spans="1:16" x14ac:dyDescent="0.2">
      <c r="B31" s="3"/>
      <c r="E31" s="45"/>
      <c r="F31" s="3"/>
    </row>
    <row r="32" spans="1:16" x14ac:dyDescent="0.2">
      <c r="B32" s="3"/>
      <c r="E32" s="45"/>
      <c r="F32" s="3"/>
    </row>
    <row r="33" spans="2:6" x14ac:dyDescent="0.2">
      <c r="B33" s="3"/>
      <c r="E33" s="45"/>
      <c r="F33" s="3"/>
    </row>
    <row r="34" spans="2:6" x14ac:dyDescent="0.2">
      <c r="B34" s="3"/>
      <c r="E34" s="45"/>
      <c r="F34" s="3"/>
    </row>
    <row r="35" spans="2:6" x14ac:dyDescent="0.2">
      <c r="B35" s="3"/>
      <c r="E35" s="45"/>
      <c r="F35" s="3"/>
    </row>
    <row r="36" spans="2:6" x14ac:dyDescent="0.2">
      <c r="B36" s="3"/>
      <c r="E36" s="45"/>
      <c r="F36" s="3"/>
    </row>
    <row r="37" spans="2:6" x14ac:dyDescent="0.2">
      <c r="B37" s="3"/>
      <c r="E37" s="45"/>
      <c r="F37" s="3"/>
    </row>
    <row r="38" spans="2:6" x14ac:dyDescent="0.2">
      <c r="B38" s="3"/>
      <c r="E38" s="45"/>
      <c r="F38" s="3"/>
    </row>
    <row r="39" spans="2:6" x14ac:dyDescent="0.2">
      <c r="B39" s="3"/>
      <c r="E39" s="45"/>
      <c r="F39" s="3"/>
    </row>
    <row r="40" spans="2:6" x14ac:dyDescent="0.2">
      <c r="B40" s="3"/>
      <c r="E40" s="45"/>
      <c r="F40" s="3"/>
    </row>
    <row r="41" spans="2:6" x14ac:dyDescent="0.2">
      <c r="B41" s="3"/>
      <c r="E41" s="45"/>
      <c r="F41" s="3"/>
    </row>
    <row r="42" spans="2:6" x14ac:dyDescent="0.2">
      <c r="B42" s="3"/>
      <c r="E42" s="45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</sheetData>
  <phoneticPr fontId="8" type="noConversion"/>
  <hyperlinks>
    <hyperlink ref="P11" r:id="rId1" display="http://var.astro.cz/oejv/issues/oejv0074.pdf"/>
    <hyperlink ref="P25" r:id="rId2" display="http://var.astro.cz/oejv/issues/oejv0107.pdf"/>
    <hyperlink ref="P26" r:id="rId3" display="http://var.astro.cz/oejv/issues/oejv0137.pdf"/>
    <hyperlink ref="P12" r:id="rId4" display="http://www.konkoly.hu/cgi-bin/IBVS?5966"/>
    <hyperlink ref="P13" r:id="rId5" display="http://var.astro.cz/oejv/issues/oejv0160.pdf"/>
    <hyperlink ref="P14" r:id="rId6" display="http://www.konkoly.hu/cgi-bin/IBVS?5992"/>
    <hyperlink ref="P15" r:id="rId7" display="http://www.konkoly.hu/cgi-bin/IBVS?605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2024-01-17T01:41:53Z</dcterms:modified>
</cp:coreProperties>
</file>