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CD6CF72-D86E-438D-B178-F10BE1E942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3" i="1"/>
  <c r="F23" i="1"/>
  <c r="G23" i="1"/>
  <c r="J23" i="1"/>
  <c r="D9" i="1"/>
  <c r="C9" i="1"/>
  <c r="Q23" i="1"/>
  <c r="Q24" i="1"/>
  <c r="G13" i="2"/>
  <c r="C13" i="2"/>
  <c r="G12" i="2"/>
  <c r="C12" i="2"/>
  <c r="E12" i="2"/>
  <c r="G14" i="2"/>
  <c r="C14" i="2"/>
  <c r="G11" i="2"/>
  <c r="C11" i="2"/>
  <c r="E11" i="2"/>
  <c r="H13" i="2"/>
  <c r="B13" i="2"/>
  <c r="D13" i="2"/>
  <c r="A13" i="2"/>
  <c r="H12" i="2"/>
  <c r="B12" i="2"/>
  <c r="D12" i="2"/>
  <c r="A12" i="2"/>
  <c r="H14" i="2"/>
  <c r="B14" i="2"/>
  <c r="D14" i="2"/>
  <c r="A14" i="2"/>
  <c r="H11" i="2"/>
  <c r="B11" i="2"/>
  <c r="D11" i="2"/>
  <c r="A11" i="2"/>
  <c r="Q21" i="1"/>
  <c r="C8" i="1"/>
  <c r="E21" i="1"/>
  <c r="F21" i="1"/>
  <c r="G21" i="1"/>
  <c r="J21" i="1"/>
  <c r="Q22" i="1"/>
  <c r="F17" i="1"/>
  <c r="C17" i="1"/>
  <c r="E22" i="1"/>
  <c r="F22" i="1"/>
  <c r="G22" i="1"/>
  <c r="E24" i="1"/>
  <c r="F24" i="1"/>
  <c r="G24" i="1"/>
  <c r="J24" i="1"/>
  <c r="J22" i="1"/>
  <c r="E14" i="2"/>
  <c r="E13" i="2"/>
  <c r="C11" i="1"/>
  <c r="C12" i="1"/>
  <c r="C16" i="1" l="1"/>
  <c r="D18" i="1" s="1"/>
  <c r="O21" i="1"/>
  <c r="C15" i="1"/>
  <c r="O25" i="1"/>
  <c r="O24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<sst xmlns="http://schemas.openxmlformats.org/spreadsheetml/2006/main" count="93" uniqueCount="77">
  <si>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</si>
  <si>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</si>
  <si>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</si>
  <si>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</si>
  <si>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</si>
  <si>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</si>
  <si>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</si>
  <si>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</si>
  <si>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</si>
  <si>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</si>
  <si>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</si>
  <si>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</si>
  <si>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</si>
  <si>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</si>
  <si>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</si>
  <si>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</si>
  <si>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</si>
  <si>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</si>
  <si>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</si>
  <si>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</si>
  <si>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</si>
  <si>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</si>
  <si>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</si>
  <si>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</si>
  <si>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</si>
  <si>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</si>
  <si>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</si>
  <si>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</si>
  <si>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</si>
  <si>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</si>
  <si>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</si>
  <si>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</si>
  <si>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</si>
  <si>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</si>
  <si>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</si>
  <si>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</si>
  <si>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HP Dra / GSC 3552-0394</t>
  </si>
  <si>
    <t>EA</t>
  </si>
  <si>
    <t>Dra_HP.xls</t>
  </si>
  <si>
    <t>IBVS 5731</t>
  </si>
  <si>
    <t xml:space="preserve">IBVS 4823 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</si>
  <si>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</si>
  <si>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</si>
  <si>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</si>
  <si>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</si>
  <si>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</si>
  <si>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</si>
  <si>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</si>
  <si>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</si>
  <si>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</si>
  <si>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</si>
  <si>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</si>
  <si>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</si>
  <si>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2451041.4812 </t>
  </si>
  <si>
    <t> 15.08.1998 23:32 </t>
  </si>
  <si>
    <t> -0.0000 </t>
  </si>
  <si>
    <t>E </t>
  </si>
  <si>
    <t>?</t>
  </si>
  <si>
    <t> M.Kurpinska et al. </t>
  </si>
  <si>
    <t>IBVS 4823 </t>
  </si>
  <si>
    <t>2453656.5277 </t>
  </si>
  <si>
    <t> 13.10.2005 00:39 </t>
  </si>
  <si>
    <t> 0.0000 </t>
  </si>
  <si>
    <t>C </t>
  </si>
  <si>
    <t>o</t>
  </si>
  <si>
    <t> Schmidt </t>
  </si>
  <si>
    <t>BAVM 178 </t>
  </si>
  <si>
    <t>2457132.5141 </t>
  </si>
  <si>
    <t> 20.04.2015 00:20 </t>
  </si>
  <si>
    <t> 0.0194 </t>
  </si>
  <si>
    <t> U.Schmidt </t>
  </si>
  <si>
    <t>BAVM 241 (=IBVS 6157) </t>
  </si>
  <si>
    <t>2457213.4146 </t>
  </si>
  <si>
    <t> 09.07.2015 21:57 </t>
  </si>
  <si>
    <t> 0.2085 </t>
  </si>
  <si>
    <t>-I</t>
  </si>
  <si>
    <t> F.Agerer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</si>
</sst>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Dra - O-C Diagr.</a:t>
            </a:r>
          </a:p>
        </c:rich>
      </c:tx>
      <c:layout>
        <c:manualLayout>
          <c:xMode val="edge"/>
          <c:yMode val="edge"/>
          <c:x val="0.396383866481223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470097357440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D-4E77-B671-2FD283DDFF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D-4E77-B671-2FD283DDFF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0.36649999999644933</c:v>
                </c:pt>
                <c:pt idx="2">
                  <c:v>0.87290000000211876</c:v>
                </c:pt>
                <c:pt idx="3">
                  <c:v>1.0733999999938533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4D-4E77-B671-2FD283DDFF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1.1647999999986496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4D-4E77-B671-2FD283DDFF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4D-4E77-B671-2FD283DDFF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4D-4E77-B671-2FD283DDFF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4D-4E77-B671-2FD283DDFF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-3.0175612014978426E-2</c:v>
                </c:pt>
                <c:pt idx="1">
                  <c:v>0.40653571467943916</c:v>
                </c:pt>
                <c:pt idx="2">
                  <c:v>0.98702031765185427</c:v>
                </c:pt>
                <c:pt idx="3">
                  <c:v>1.0004990623029166</c:v>
                </c:pt>
                <c:pt idx="4">
                  <c:v>1.1137205173718394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4D-4E77-B671-2FD283DD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23304"/>
        <c:axId val="1"/>
      </c:scatterChart>
      <c:valAx>
        <c:axId val="783623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23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A31C0E-0BAD-6ED0-5E7E-EF2B53F03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823" TargetMode="External"/><Relationship Id="rId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36</v>
      </c>
      <c r="F1">
        <v>53656.527699999999</v>
      </c>
      <c r="G1">
        <v>10.76</v>
      </c>
      <c r="H1" t="s">
        <v>37</v>
      </c>
      <c r="I1" t="s">
        <v>38</v>
      </c>
    </row>
    <row r="2" spans="1:9" x14ac:dyDescent="0.2">
      <c r="A2" t="s">
        <v>25</v>
      </c>
      <c r="B2" t="s">
        <v>37</v>
      </c>
      <c r="C2" s="3"/>
      <c r="D2" s="3"/>
      <c r="E2" t="s">
        <v>38</v>
      </c>
    </row>
    <row r="3" spans="1:9" ht="13.5" thickBot="1" x14ac:dyDescent="0.25"/>
    <row r="4" spans="1:9" ht="14.25" thickTop="1" thickBot="1" x14ac:dyDescent="0.25">
      <c r="A4" s="5" t="s">
        <v>2</v>
      </c>
      <c r="C4" s="8">
        <v>53656.527699999999</v>
      </c>
      <c r="D4" s="9">
        <v>10.76</v>
      </c>
    </row>
    <row r="5" spans="1:9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9" x14ac:dyDescent="0.2">
      <c r="A6" s="5" t="s">
        <v>3</v>
      </c>
    </row>
    <row r="7" spans="1:9" x14ac:dyDescent="0.2">
      <c r="A7" t="s">
        <v>4</v>
      </c>
      <c r="C7">
        <v>51041.481200000002</v>
      </c>
    </row>
    <row r="8" spans="1:9" x14ac:dyDescent="0.2">
      <c r="A8" t="s">
        <v>5</v>
      </c>
      <c r="C8">
        <f>+D4</f>
        <v>10.76</v>
      </c>
    </row>
    <row r="9" spans="1:9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9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9" x14ac:dyDescent="0.2">
      <c r="A11" s="12" t="s">
        <v>17</v>
      </c>
      <c r="B11" s="12"/>
      <c r="C11" s="23">
        <f ca="1">INTERCEPT(INDIRECT($D$9):G991,INDIRECT($C$9):F991)</f>
        <v>-3.0175612014978426E-2</v>
      </c>
      <c r="D11" s="3"/>
      <c r="E11" s="12"/>
    </row>
    <row r="12" spans="1:9" x14ac:dyDescent="0.2">
      <c r="A12" s="12" t="s">
        <v>18</v>
      </c>
      <c r="B12" s="12"/>
      <c r="C12" s="23">
        <f ca="1">SLOPE(INDIRECT($D$9):G991,INDIRECT($C$9):F991)</f>
        <v>1.7971659534749694E-3</v>
      </c>
      <c r="D12" s="3"/>
      <c r="E12" s="12"/>
    </row>
    <row r="13" spans="1:9" x14ac:dyDescent="0.2">
      <c r="A13" s="12" t="s">
        <v>20</v>
      </c>
      <c r="B13" s="12"/>
      <c r="C13" s="3" t="s">
        <v>15</v>
      </c>
    </row>
    <row r="14" spans="1:9" x14ac:dyDescent="0.2">
      <c r="A14" s="12"/>
      <c r="B14" s="12"/>
      <c r="C14" s="12"/>
    </row>
    <row r="15" spans="1:9" x14ac:dyDescent="0.2">
      <c r="A15" s="14" t="s">
        <v>19</v>
      </c>
      <c r="B15" s="12"/>
      <c r="C15" s="15">
        <f ca="1">(C7+C11)+(C8+C12)*INT(MAX(F21:F3532))</f>
        <v>57885.954021934391</v>
      </c>
      <c r="E15" s="3"/>
      <c r="F15" s="12"/>
    </row>
    <row r="16" spans="1:9" x14ac:dyDescent="0.2">
      <c r="A16" s="18" t="s">
        <v>6</v>
      </c>
      <c r="B16" s="12"/>
      <c r="C16" s="19">
        <f ca="1">+C8+C12</f>
        <v>10.761797165953475</v>
      </c>
      <c r="E16" s="12"/>
      <c r="F16" s="12"/>
    </row>
    <row r="17" spans="1:17" ht="13.5" thickBot="1" x14ac:dyDescent="0.25">
      <c r="A17" s="16" t="s">
        <v>29</v>
      </c>
      <c r="B17" s="12"/>
      <c r="C17" s="12">
        <f>COUNT(C21:C2190)</f>
        <v>5</v>
      </c>
      <c r="E17" s="16" t="s">
        <v>32</v>
      </c>
      <c r="F17" s="17">
        <f ca="1">TODAY()+15018.5-B5/24</f>
        <v>60314.5</v>
      </c>
    </row>
    <row r="18" spans="1:17" ht="14.25" thickTop="1" thickBot="1" x14ac:dyDescent="0.25">
      <c r="A18" s="18" t="s">
        <v>7</v>
      </c>
      <c r="B18" s="12"/>
      <c r="C18" s="21">
        <f ca="1">+C15</f>
        <v>57885.954021934391</v>
      </c>
      <c r="D18" s="22">
        <f ca="1">+C16</f>
        <v>10.761797165953475</v>
      </c>
      <c r="E18" s="16" t="s">
        <v>33</v>
      </c>
      <c r="F18" s="17">
        <f ca="1">ROUND(2*(F17-C15)/C16,0)/2+1</f>
        <v>226.5</v>
      </c>
    </row>
    <row r="19" spans="1:17" ht="13.5" thickTop="1" x14ac:dyDescent="0.2">
      <c r="E19" s="16" t="s">
        <v>34</v>
      </c>
      <c r="F19" s="20">
        <f ca="1">+C15+C16*F18-15018.5-C5/24</f>
        <v>45305.396913356191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40</v>
      </c>
      <c r="C21" s="10">
        <v>51041.481200000002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-3.0175612014978426E-2</v>
      </c>
      <c r="Q21" s="2">
        <f>+C21-15018.5</f>
        <v>36022.981200000002</v>
      </c>
    </row>
    <row r="22" spans="1:17" x14ac:dyDescent="0.2">
      <c r="A22" s="29" t="s">
        <v>39</v>
      </c>
      <c r="B22" s="28"/>
      <c r="C22" s="29">
        <v>53656.527699999999</v>
      </c>
      <c r="D22" s="29">
        <v>4.4999999999999997E-3</v>
      </c>
      <c r="E22">
        <f>+(C22-C$7)/C$8</f>
        <v>243.03406133828966</v>
      </c>
      <c r="F22">
        <f>ROUND(2*E22,0)/2</f>
        <v>243</v>
      </c>
      <c r="G22">
        <f>+C22-(C$7+F22*C$8)</f>
        <v>0.36649999999644933</v>
      </c>
      <c r="J22">
        <f>+G22</f>
        <v>0.36649999999644933</v>
      </c>
      <c r="O22">
        <f ca="1">+C$11+C$12*$F22</f>
        <v>0.40653571467943916</v>
      </c>
      <c r="Q22" s="2">
        <f>+C22-15018.5</f>
        <v>38638.027699999999</v>
      </c>
    </row>
    <row r="23" spans="1:17" x14ac:dyDescent="0.2">
      <c r="A23" s="29" t="s">
        <v>41</v>
      </c>
      <c r="B23" s="43"/>
      <c r="C23" s="29">
        <v>57132.5141</v>
      </c>
      <c r="D23" s="29">
        <v>1E-4</v>
      </c>
      <c r="E23">
        <f>+(C23-C$7)/C$8</f>
        <v>566.08112453531589</v>
      </c>
      <c r="F23">
        <f>ROUND(2*E23,0)/2</f>
        <v>566</v>
      </c>
      <c r="G23">
        <f>+C23-(C$7+F23*C$8)</f>
        <v>0.87290000000211876</v>
      </c>
      <c r="J23">
        <f>+G23</f>
        <v>0.87290000000211876</v>
      </c>
      <c r="O23">
        <f ca="1">+C$11+C$12*$F23</f>
        <v>0.98702031765185427</v>
      </c>
      <c r="Q23" s="2">
        <f>+C23-15018.5</f>
        <v>42114.0141</v>
      </c>
    </row>
    <row r="24" spans="1:17" x14ac:dyDescent="0.2">
      <c r="A24" s="29" t="s">
        <v>41</v>
      </c>
      <c r="B24" s="43"/>
      <c r="C24" s="29">
        <v>57213.414599999996</v>
      </c>
      <c r="D24" s="29">
        <v>3.8E-3</v>
      </c>
      <c r="E24">
        <f>+(C24-C$7)/C$8</f>
        <v>573.59975836431181</v>
      </c>
      <c r="F24">
        <f>ROUND(2*E24,0)/2</f>
        <v>573.5</v>
      </c>
      <c r="G24">
        <f>+C24-(C$7+F24*C$8)</f>
        <v>1.0733999999938533</v>
      </c>
      <c r="J24">
        <f>+G24</f>
        <v>1.0733999999938533</v>
      </c>
      <c r="O24">
        <f ca="1">+C$11+C$12*$F24</f>
        <v>1.0004990623029166</v>
      </c>
      <c r="Q24" s="2">
        <f>+C24-15018.5</f>
        <v>42194.914599999996</v>
      </c>
    </row>
    <row r="25" spans="1:17" x14ac:dyDescent="0.2">
      <c r="A25" s="44" t="s">
        <v>0</v>
      </c>
      <c r="B25" s="45" t="s">
        <v>1</v>
      </c>
      <c r="C25" s="45">
        <v>57891.385999999999</v>
      </c>
      <c r="D25" s="45">
        <v>5.9999999999999995E-4</v>
      </c>
      <c r="E25">
        <f>+(C25-C$7)/C$8</f>
        <v>636.60825278810375</v>
      </c>
      <c r="F25">
        <f>ROUND(2*E25,0)/2</f>
        <v>636.5</v>
      </c>
      <c r="G25">
        <f>+C25-(C$7+F25*C$8)</f>
        <v>1.1647999999986496</v>
      </c>
      <c r="K25">
        <f>+G25</f>
        <v>1.1647999999986496</v>
      </c>
      <c r="O25">
        <f ca="1">+C$11+C$12*$F25</f>
        <v>1.1137205173718394</v>
      </c>
      <c r="Q25" s="2">
        <f>+C25-15018.5</f>
        <v>42872.885999999999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hyperlinks>
    <hyperlink ref="H64471" r:id="rId1" display="http://vsolj.cetus-net.org/bulletin.html"/>
    <hyperlink ref="H64464" r:id="rId2" display="https://www.aavso.org/ejaavso"/>
    <hyperlink ref="AP615" r:id="rId3" display="http://cdsbib.u-strasbg.fr/cgi-bin/cdsbib?1990RMxAA..21..381G"/>
    <hyperlink ref="AP619" r:id="rId4" display="http://cdsbib.u-strasbg.fr/cgi-bin/cdsbib?1990RMxAA..21..381G"/>
    <hyperlink ref="AP618" r:id="rId5" display="http://cdsbib.u-strasbg.fr/cgi-bin/cdsbib?1990RMxAA..21..381G"/>
    <hyperlink ref="AP599" r:id="rId6" display="http://cdsbib.u-strasbg.fr/cgi-bin/cdsbib?1990RMxAA..21..381G"/>
    <hyperlink ref="I64471" r:id="rId7" display="http://vsolj.cetus-net.org/bulletin.html"/>
    <hyperlink ref="AQ755" r:id="rId8" display="http://cdsbib.u-strasbg.fr/cgi-bin/cdsbib?1990RMxAA..21..381G"/>
    <hyperlink ref="AQ55521" r:id="rId9" display="http://cdsbib.u-strasbg.fr/cgi-bin/cdsbib?1990RMxAA..21..381G"/>
    <hyperlink ref="AQ756" r:id="rId10" display="http://cdsbib.u-strasbg.fr/cgi-bin/cdsbib?1990RMxAA..21..381G"/>
    <hyperlink ref="H64468" r:id="rId11" display="https://www.aavso.org/ejaavso"/>
    <hyperlink ref="H1641" r:id="rId12" display="http://vsolj.cetus-net.org/bulletin.html"/>
    <hyperlink ref="AP2885" r:id="rId13" display="http://cdsbib.u-strasbg.fr/cgi-bin/cdsbib?1990RMxAA..21..381G"/>
    <hyperlink ref="AP2888" r:id="rId14" display="http://cdsbib.u-strasbg.fr/cgi-bin/cdsbib?1990RMxAA..21..381G"/>
    <hyperlink ref="AP2886" r:id="rId15" display="http://cdsbib.u-strasbg.fr/cgi-bin/cdsbib?1990RMxAA..21..381G"/>
    <hyperlink ref="AP2870" r:id="rId16" display="http://cdsbib.u-strasbg.fr/cgi-bin/cdsbib?1990RMxAA..21..381G"/>
    <hyperlink ref="I1641" r:id="rId17" display="http://vsolj.cetus-net.org/bulletin.html"/>
    <hyperlink ref="AQ3099" r:id="rId18" display="http://cdsbib.u-strasbg.fr/cgi-bin/cdsbib?1990RMxAA..21..381G"/>
    <hyperlink ref="AQ65336" r:id="rId19" display="http://cdsbib.u-strasbg.fr/cgi-bin/cdsbib?1990RMxAA..21..381G"/>
    <hyperlink ref="AQ310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0" t="s">
        <v>42</v>
      </c>
      <c r="I1" s="31" t="s">
        <v>43</v>
      </c>
      <c r="J1" s="32" t="s">
        <v>44</v>
      </c>
    </row>
    <row r="2" spans="1:16" x14ac:dyDescent="0.2">
      <c r="I2" s="33" t="s">
        <v>45</v>
      </c>
      <c r="J2" s="34" t="s">
        <v>46</v>
      </c>
    </row>
    <row r="3" spans="1:16" x14ac:dyDescent="0.2">
      <c r="A3" s="35" t="s">
        <v>47</v>
      </c>
      <c r="I3" s="33" t="s">
        <v>48</v>
      </c>
      <c r="J3" s="34" t="s">
        <v>49</v>
      </c>
    </row>
    <row r="4" spans="1:16" x14ac:dyDescent="0.2">
      <c r="I4" s="33" t="s">
        <v>50</v>
      </c>
      <c r="J4" s="34" t="s">
        <v>49</v>
      </c>
    </row>
    <row r="5" spans="1:16" ht="13.5" thickBot="1" x14ac:dyDescent="0.25">
      <c r="I5" s="36" t="s">
        <v>51</v>
      </c>
      <c r="J5" s="37" t="s">
        <v>52</v>
      </c>
    </row>
    <row r="10" spans="1:16" ht="13.5" thickBot="1" x14ac:dyDescent="0.25"/>
    <row r="11" spans="1:16" ht="12.75" customHeight="1" thickBot="1" x14ac:dyDescent="0.25">
      <c r="A11" s="10" t="str">
        <f>P11</f>
        <v>IBVS 4823 </v>
      </c>
      <c r="B11" s="3" t="str">
        <f>IF(H11=INT(H11),"I","II")</f>
        <v>I</v>
      </c>
      <c r="C11" s="10">
        <f>1*G11</f>
        <v>51041.481200000002</v>
      </c>
      <c r="D11" s="12" t="str">
        <f>VLOOKUP(F11,I$1:J$5,2,FALSE)</f>
        <v>vis</v>
      </c>
      <c r="E11" s="38">
        <f>VLOOKUP(C11,Active!C$21:E$973,3,FALSE)</f>
        <v>0</v>
      </c>
      <c r="F11" s="3" t="s">
        <v>51</v>
      </c>
      <c r="G11" s="12" t="str">
        <f>MID(I11,3,LEN(I11)-3)</f>
        <v>51041.4812</v>
      </c>
      <c r="H11" s="10">
        <f>1*K11</f>
        <v>-136</v>
      </c>
      <c r="I11" s="39" t="s">
        <v>53</v>
      </c>
      <c r="J11" s="40" t="s">
        <v>54</v>
      </c>
      <c r="K11" s="39">
        <v>-136</v>
      </c>
      <c r="L11" s="39" t="s">
        <v>55</v>
      </c>
      <c r="M11" s="40" t="s">
        <v>56</v>
      </c>
      <c r="N11" s="40" t="s">
        <v>57</v>
      </c>
      <c r="O11" s="41" t="s">
        <v>58</v>
      </c>
      <c r="P11" s="42" t="s">
        <v>59</v>
      </c>
    </row>
    <row r="12" spans="1:16" ht="12.75" customHeight="1" thickBot="1" x14ac:dyDescent="0.25">
      <c r="A12" s="10" t="str">
        <f>P12</f>
        <v>BAVM 241 (=IBVS 6157) </v>
      </c>
      <c r="B12" s="3" t="str">
        <f>IF(H12=INT(H12),"I","II")</f>
        <v>I</v>
      </c>
      <c r="C12" s="10">
        <f>1*G12</f>
        <v>57132.5141</v>
      </c>
      <c r="D12" s="12" t="str">
        <f>VLOOKUP(F12,I$1:J$5,2,FALSE)</f>
        <v>vis</v>
      </c>
      <c r="E12" s="38">
        <f>VLOOKUP(C12,Active!C$21:E$973,3,FALSE)</f>
        <v>566.08112453531589</v>
      </c>
      <c r="F12" s="3" t="s">
        <v>51</v>
      </c>
      <c r="G12" s="12" t="str">
        <f>MID(I12,3,LEN(I12)-3)</f>
        <v>57132.5141</v>
      </c>
      <c r="H12" s="10">
        <f>1*K12</f>
        <v>430</v>
      </c>
      <c r="I12" s="39" t="s">
        <v>67</v>
      </c>
      <c r="J12" s="40" t="s">
        <v>68</v>
      </c>
      <c r="K12" s="39">
        <v>430</v>
      </c>
      <c r="L12" s="39" t="s">
        <v>69</v>
      </c>
      <c r="M12" s="40" t="s">
        <v>63</v>
      </c>
      <c r="N12" s="40" t="s">
        <v>64</v>
      </c>
      <c r="O12" s="41" t="s">
        <v>70</v>
      </c>
      <c r="P12" s="42" t="s">
        <v>71</v>
      </c>
    </row>
    <row r="13" spans="1:16" ht="12.75" customHeight="1" thickBot="1" x14ac:dyDescent="0.25">
      <c r="A13" s="10" t="str">
        <f>P13</f>
        <v>BAVM 241 (=IBVS 6157) </v>
      </c>
      <c r="B13" s="3" t="str">
        <f>IF(H13=INT(H13),"I","II")</f>
        <v>II</v>
      </c>
      <c r="C13" s="10">
        <f>1*G13</f>
        <v>57213.414599999996</v>
      </c>
      <c r="D13" s="12" t="str">
        <f>VLOOKUP(F13,I$1:J$5,2,FALSE)</f>
        <v>vis</v>
      </c>
      <c r="E13" s="38">
        <f>VLOOKUP(C13,Active!C$21:E$973,3,FALSE)</f>
        <v>573.59975836431181</v>
      </c>
      <c r="F13" s="3" t="s">
        <v>51</v>
      </c>
      <c r="G13" s="12" t="str">
        <f>MID(I13,3,LEN(I13)-3)</f>
        <v>57213.4146</v>
      </c>
      <c r="H13" s="10">
        <f>1*K13</f>
        <v>437.5</v>
      </c>
      <c r="I13" s="39" t="s">
        <v>72</v>
      </c>
      <c r="J13" s="40" t="s">
        <v>73</v>
      </c>
      <c r="K13" s="39">
        <v>437.5</v>
      </c>
      <c r="L13" s="39" t="s">
        <v>74</v>
      </c>
      <c r="M13" s="40" t="s">
        <v>63</v>
      </c>
      <c r="N13" s="40" t="s">
        <v>75</v>
      </c>
      <c r="O13" s="41" t="s">
        <v>76</v>
      </c>
      <c r="P13" s="42" t="s">
        <v>71</v>
      </c>
    </row>
    <row r="14" spans="1:16" ht="12.75" customHeight="1" thickBot="1" x14ac:dyDescent="0.25">
      <c r="A14" s="10" t="str">
        <f>P14</f>
        <v>BAVM 178 </v>
      </c>
      <c r="B14" s="3" t="str">
        <f>IF(H14=INT(H14),"I","II")</f>
        <v>I</v>
      </c>
      <c r="C14" s="10">
        <f>1*G14</f>
        <v>53656.527699999999</v>
      </c>
      <c r="D14" s="12" t="str">
        <f>VLOOKUP(F14,I$1:J$5,2,FALSE)</f>
        <v>vis</v>
      </c>
      <c r="E14" s="38">
        <f>VLOOKUP(C14,Active!C$21:E$973,3,FALSE)</f>
        <v>243.03406133828966</v>
      </c>
      <c r="F14" s="3" t="s">
        <v>51</v>
      </c>
      <c r="G14" s="12" t="str">
        <f>MID(I14,3,LEN(I14)-3)</f>
        <v>53656.5277</v>
      </c>
      <c r="H14" s="10">
        <f>1*K14</f>
        <v>107</v>
      </c>
      <c r="I14" s="39" t="s">
        <v>60</v>
      </c>
      <c r="J14" s="40" t="s">
        <v>61</v>
      </c>
      <c r="K14" s="39">
        <v>107</v>
      </c>
      <c r="L14" s="39" t="s">
        <v>62</v>
      </c>
      <c r="M14" s="40" t="s">
        <v>63</v>
      </c>
      <c r="N14" s="40" t="s">
        <v>64</v>
      </c>
      <c r="O14" s="41" t="s">
        <v>65</v>
      </c>
      <c r="P14" s="42" t="s">
        <v>66</v>
      </c>
    </row>
    <row r="15" spans="1:16" x14ac:dyDescent="0.2">
      <c r="B15" s="3"/>
      <c r="E15" s="38"/>
      <c r="F15" s="3"/>
    </row>
    <row r="16" spans="1:16" x14ac:dyDescent="0.2">
      <c r="B16" s="3"/>
      <c r="E16" s="38"/>
      <c r="F16" s="3"/>
    </row>
    <row r="17" spans="2:6" x14ac:dyDescent="0.2">
      <c r="B17" s="3"/>
      <c r="E17" s="38"/>
      <c r="F17" s="3"/>
    </row>
    <row r="18" spans="2:6" x14ac:dyDescent="0.2">
      <c r="B18" s="3"/>
      <c r="E18" s="38"/>
      <c r="F18" s="3"/>
    </row>
    <row r="19" spans="2:6" x14ac:dyDescent="0.2">
      <c r="B19" s="3"/>
      <c r="E19" s="38"/>
      <c r="F19" s="3"/>
    </row>
    <row r="20" spans="2:6" x14ac:dyDescent="0.2">
      <c r="B20" s="3"/>
      <c r="E20" s="38"/>
      <c r="F20" s="3"/>
    </row>
    <row r="21" spans="2:6" x14ac:dyDescent="0.2">
      <c r="B21" s="3"/>
      <c r="E21" s="38"/>
      <c r="F21" s="3"/>
    </row>
    <row r="22" spans="2:6" x14ac:dyDescent="0.2">
      <c r="B22" s="3"/>
      <c r="E22" s="38"/>
      <c r="F22" s="3"/>
    </row>
    <row r="23" spans="2:6" x14ac:dyDescent="0.2">
      <c r="B23" s="3"/>
      <c r="E23" s="38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</sheetData>
  <phoneticPr fontId="7" type="noConversion"/>
  <hyperlinks>
    <hyperlink ref="P11" r:id="rId1" display="http://www.konkoly.hu/cgi-bin/IBVS?4823"/>
    <hyperlink ref="P14" r:id="rId2" display="http://www.bav-astro.de/sfs/BAVM_link.php?BAVMnr=178"/>
    <hyperlink ref="P12" r:id="rId3" display="http://www.bav-astro.de/sfs/BAVM_link.php?BAVMnr=241"/>
    <hyperlink ref="P13" r:id="rId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2024-01-05T00:23:10Z</dcterms:modified>
</cp:coreProperties>
</file>