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84BB2AE-6FB8-4948-862A-C34645B6DB9C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/>
  <c r="G36" i="1"/>
  <c r="K36" i="1"/>
  <c r="Q36" i="1"/>
  <c r="Q35" i="1"/>
  <c r="E35" i="1"/>
  <c r="F35" i="1"/>
  <c r="G35" i="1"/>
  <c r="K35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J29" i="1"/>
  <c r="E30" i="1"/>
  <c r="F30" i="1"/>
  <c r="G30" i="1"/>
  <c r="J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J34" i="1"/>
  <c r="D9" i="1"/>
  <c r="C9" i="1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1" i="2"/>
  <c r="C21" i="2"/>
  <c r="E21" i="2"/>
  <c r="G13" i="2"/>
  <c r="C13" i="2"/>
  <c r="E13" i="2"/>
  <c r="G12" i="2"/>
  <c r="C12" i="2"/>
  <c r="E12" i="2"/>
  <c r="G11" i="2"/>
  <c r="C11" i="2"/>
  <c r="E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1" i="2"/>
  <c r="B21" i="2"/>
  <c r="D21" i="2"/>
  <c r="A21" i="2"/>
  <c r="H13" i="2"/>
  <c r="D13" i="2"/>
  <c r="B13" i="2"/>
  <c r="A13" i="2"/>
  <c r="H12" i="2"/>
  <c r="B12" i="2"/>
  <c r="D12" i="2"/>
  <c r="A12" i="2"/>
  <c r="H11" i="2"/>
  <c r="D11" i="2"/>
  <c r="B11" i="2"/>
  <c r="A11" i="2"/>
  <c r="Q34" i="1"/>
  <c r="Q33" i="1"/>
  <c r="Q32" i="1"/>
  <c r="Q28" i="1"/>
  <c r="Q31" i="1"/>
  <c r="Q30" i="1"/>
  <c r="Q29" i="1"/>
  <c r="Q26" i="1"/>
  <c r="Q27" i="1"/>
  <c r="E21" i="1"/>
  <c r="F21" i="1"/>
  <c r="G21" i="1"/>
  <c r="H21" i="1"/>
  <c r="E22" i="1"/>
  <c r="F22" i="1"/>
  <c r="G22" i="1"/>
  <c r="H22" i="1"/>
  <c r="F16" i="1"/>
  <c r="C17" i="1"/>
  <c r="Q21" i="1"/>
  <c r="Q22" i="1"/>
  <c r="Q24" i="1"/>
  <c r="Q25" i="1"/>
  <c r="Q23" i="1"/>
  <c r="C12" i="1"/>
  <c r="C11" i="1"/>
  <c r="O26" i="1" l="1"/>
  <c r="O34" i="1"/>
  <c r="O21" i="1"/>
  <c r="O33" i="1"/>
  <c r="O31" i="1"/>
  <c r="O36" i="1"/>
  <c r="O35" i="1"/>
  <c r="O32" i="1"/>
  <c r="O24" i="1"/>
  <c r="O22" i="1"/>
  <c r="O29" i="1"/>
  <c r="O30" i="1"/>
  <c r="O28" i="1"/>
  <c r="O23" i="1"/>
  <c r="O25" i="1"/>
  <c r="O27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<sst xmlns="http://schemas.openxmlformats.org/spreadsheetml/2006/main" count="183" uniqueCount="115">
  <si>
    <t>IBVS 6244</t>
  </si>
  <si>
    <t>checked byToMcat 2017-11-29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</si>
  <si>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</si>
  <si>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</si>
  <si>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</si>
  <si>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</si>
  <si>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</si>
  <si>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</si>
  <si>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</si>
  <si>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</si>
  <si>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</si>
  <si>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</si>
  <si>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</si>
  <si>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</si>
  <si>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</si>
  <si>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</si>
  <si>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</si>
  <si>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</si>
  <si>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</si>
  <si>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</si>
  <si>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</si>
  <si>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</si>
  <si>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</si>
  <si>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</si>
  <si>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</si>
  <si>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</si>
  <si>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</si>
  <si>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</si>
  <si>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</si>
  <si>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</si>
  <si>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</si>
  <si>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</si>
  <si>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</si>
  <si>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</si>
  <si>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</si>
  <si>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</si>
  <si>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</si>
  <si>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LN Dra / GSC 3889-1362</t>
  </si>
  <si>
    <t>not avail.</t>
  </si>
  <si>
    <t>OEJV 0107</t>
  </si>
  <si>
    <t>II</t>
  </si>
  <si>
    <t>OEJV 0094</t>
  </si>
  <si>
    <t>I</t>
  </si>
  <si>
    <t>IBVS 5060</t>
  </si>
  <si>
    <t>Add cycle</t>
  </si>
  <si>
    <t>Old Cycle</t>
  </si>
  <si>
    <t>OEJV 0137</t>
  </si>
  <si>
    <t>EB</t>
  </si>
  <si>
    <t>IBVS 6010</t>
  </si>
  <si>
    <t>IBVS 6029</t>
  </si>
  <si>
    <t>OEJV 0160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</si>
  <si>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</si>
  <si>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</si>
  <si>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</si>
  <si>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</si>
  <si>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</si>
  <si>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</si>
  <si>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</si>
  <si>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</si>
  <si>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</si>
  <si>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</si>
  <si>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</si>
  <si>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</si>
  <si>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2454521.52138 </t>
  </si>
  <si>
    <t> 25.02.2008 00:30 </t>
  </si>
  <si>
    <t> -0.00719 </t>
  </si>
  <si>
    <t>C </t>
  </si>
  <si>
    <t>R</t>
  </si>
  <si>
    <t> M.Lehky </t>
  </si>
  <si>
    <t>OEJV 0107 </t>
  </si>
  <si>
    <t>2454745.26422 </t>
  </si>
  <si>
    <t> 05.10.2008 18:20 </t>
  </si>
  <si>
    <t> -0.00123 </t>
  </si>
  <si>
    <t> R.Ehrenberger </t>
  </si>
  <si>
    <t>OEJV 0094 </t>
  </si>
  <si>
    <t>2454946.35194 </t>
  </si>
  <si>
    <t> 24.04.2009 20:26 </t>
  </si>
  <si>
    <t>2454950.3317 </t>
  </si>
  <si>
    <t> 28.04.2009 19:57 </t>
  </si>
  <si>
    <t> -0.0004 </t>
  </si>
  <si>
    <t>OEJV 0137 </t>
  </si>
  <si>
    <t>2455357.4075 </t>
  </si>
  <si>
    <t> 09.06.2010 21:46 </t>
  </si>
  <si>
    <t> 0.0029 </t>
  </si>
  <si>
    <t> V.Pribík </t>
  </si>
  <si>
    <t>2455617.56335 </t>
  </si>
  <si>
    <t> 25.02.2011 01:31 </t>
  </si>
  <si>
    <t> -0.00046 </t>
  </si>
  <si>
    <t>OEJV 0160 </t>
  </si>
  <si>
    <t>2455662.5558 </t>
  </si>
  <si>
    <t> 11.04.2011 01:20 </t>
  </si>
  <si>
    <t> -0.0002 </t>
  </si>
  <si>
    <t>-I</t>
  </si>
  <si>
    <t> F.Agerer </t>
  </si>
  <si>
    <t>BAVM 220 </t>
  </si>
  <si>
    <t>2456077.8912 </t>
  </si>
  <si>
    <t> 30.05.2012 09:23 </t>
  </si>
  <si>
    <t>5844</t>
  </si>
  <si>
    <t> -0.0013 </t>
  </si>
  <si>
    <t> R.Diethelm </t>
  </si>
  <si>
    <t>IBVS 6029 </t>
  </si>
  <si>
    <t>2456105.43754 </t>
  </si>
  <si>
    <t> 26.06.2012 22:30 </t>
  </si>
  <si>
    <t>5889</t>
  </si>
  <si>
    <t> -0.00121 </t>
  </si>
  <si>
    <t>2456177.3647 </t>
  </si>
  <si>
    <t> 06.09.2012 20:45 </t>
  </si>
  <si>
    <t>6006.5</t>
  </si>
  <si>
    <t>2456516.4919 </t>
  </si>
  <si>
    <t> 11.08.2013 23:48 </t>
  </si>
  <si>
    <t>6560.5</t>
  </si>
  <si>
    <t> 0.0017 </t>
  </si>
  <si>
    <t> M.&amp; K.Rätz </t>
  </si>
  <si>
    <t>BAVM 234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</si>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</sst>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8" xfId="0" applyFont="1" applyBorder="1" applyAlignment="1">
      <alignment horizontal="center"/>
    </xf>
    <xf numFmtId="0" fontId="16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LN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1.1290000038570724E-3</c:v>
                </c:pt>
                <c:pt idx="1">
                  <c:v>3.9400000241585076E-4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F-4AFE-B3BB-5C6DAC768C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DF-4AFE-B3BB-5C6DAC768C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-3.206999994290527E-3</c:v>
                </c:pt>
                <c:pt idx="9">
                  <c:v>-1.4650000011897646E-3</c:v>
                </c:pt>
                <c:pt idx="13">
                  <c:v>-5.1969999985885806E-3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DF-4AFE-B3BB-5C6DAC768C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-4.938999998557847E-3</c:v>
                </c:pt>
                <c:pt idx="3">
                  <c:v>0</c:v>
                </c:pt>
                <c:pt idx="4">
                  <c:v>-9.2699999368051067E-4</c:v>
                </c:pt>
                <c:pt idx="5">
                  <c:v>-5.999999848427251E-5</c:v>
                </c:pt>
                <c:pt idx="6">
                  <c:v>1.2800000040442683E-3</c:v>
                </c:pt>
                <c:pt idx="7">
                  <c:v>-3.2199999986914918E-3</c:v>
                </c:pt>
                <c:pt idx="10">
                  <c:v>-6.154000002425164E-3</c:v>
                </c:pt>
                <c:pt idx="11">
                  <c:v>-6.2039999975240789E-3</c:v>
                </c:pt>
                <c:pt idx="12">
                  <c:v>-5.7289999967906624E-3</c:v>
                </c:pt>
                <c:pt idx="14">
                  <c:v>-2.9540000032284297E-3</c:v>
                </c:pt>
                <c:pt idx="15">
                  <c:v>-6.8909999972674996E-3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DF-4AFE-B3BB-5C6DAC768C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DF-4AFE-B3BB-5C6DAC768C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DF-4AFE-B3BB-5C6DAC768C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2.0000000000000001E-4</c:v>
                  </c:pt>
                  <c:pt idx="8">
                    <c:v>2.3999999999999998E-3</c:v>
                  </c:pt>
                  <c:pt idx="9">
                    <c:v>4.0000000000000001E-3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1.6000000000000001E-3</c:v>
                  </c:pt>
                  <c:pt idx="1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DF-4AFE-B3BB-5C6DAC768C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3.7587371120211188E-3</c:v>
                </c:pt>
                <c:pt idx="1">
                  <c:v>3.7186715453386785E-3</c:v>
                </c:pt>
                <c:pt idx="2">
                  <c:v>-1.2320184177868386E-3</c:v>
                </c:pt>
                <c:pt idx="3">
                  <c:v>-1.5765822912558239E-3</c:v>
                </c:pt>
                <c:pt idx="4">
                  <c:v>-1.8862655537306848E-3</c:v>
                </c:pt>
                <c:pt idx="5">
                  <c:v>-1.892393228635058E-3</c:v>
                </c:pt>
                <c:pt idx="6">
                  <c:v>-2.5193015073132394E-3</c:v>
                </c:pt>
                <c:pt idx="7">
                  <c:v>-2.9199571741376409E-3</c:v>
                </c:pt>
                <c:pt idx="8">
                  <c:v>-2.9892470365178612E-3</c:v>
                </c:pt>
                <c:pt idx="9">
                  <c:v>-3.0354402781046742E-3</c:v>
                </c:pt>
                <c:pt idx="10">
                  <c:v>-3.6288820246128169E-3</c:v>
                </c:pt>
                <c:pt idx="11">
                  <c:v>-3.671304389335401E-3</c:v>
                </c:pt>
                <c:pt idx="12">
                  <c:v>-3.7820738972221477E-3</c:v>
                </c:pt>
                <c:pt idx="13">
                  <c:v>-4.3043403429179556E-3</c:v>
                </c:pt>
                <c:pt idx="14">
                  <c:v>-5.8442721823477439E-3</c:v>
                </c:pt>
                <c:pt idx="15">
                  <c:v>-6.3849216527566716E-3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DF-4AFE-B3BB-5C6DAC768CA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-5659.5</c:v>
                </c:pt>
                <c:pt idx="1">
                  <c:v>-5617</c:v>
                </c:pt>
                <c:pt idx="2">
                  <c:v>-365.5</c:v>
                </c:pt>
                <c:pt idx="3">
                  <c:v>0</c:v>
                </c:pt>
                <c:pt idx="4">
                  <c:v>328.5</c:v>
                </c:pt>
                <c:pt idx="5">
                  <c:v>335</c:v>
                </c:pt>
                <c:pt idx="6">
                  <c:v>1000</c:v>
                </c:pt>
                <c:pt idx="7">
                  <c:v>1425</c:v>
                </c:pt>
                <c:pt idx="8">
                  <c:v>1498.5</c:v>
                </c:pt>
                <c:pt idx="9">
                  <c:v>1547.5</c:v>
                </c:pt>
                <c:pt idx="10">
                  <c:v>2177</c:v>
                </c:pt>
                <c:pt idx="11">
                  <c:v>2222</c:v>
                </c:pt>
                <c:pt idx="12">
                  <c:v>2339.5</c:v>
                </c:pt>
                <c:pt idx="13">
                  <c:v>2893.5</c:v>
                </c:pt>
                <c:pt idx="14">
                  <c:v>4527</c:v>
                </c:pt>
                <c:pt idx="15">
                  <c:v>5100.5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DF-4AFE-B3BB-5C6DAC76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24560"/>
        <c:axId val="1"/>
      </c:scatterChart>
      <c:valAx>
        <c:axId val="65172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72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17</xdr:col>
      <xdr:colOff>161925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CE1D2A-1E72-BF42-07A3-4A98B0086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t="s">
        <v>47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38</v>
      </c>
      <c r="D4" s="9" t="s">
        <v>38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v>54745.264219999997</v>
      </c>
    </row>
    <row r="8" spans="1:6" x14ac:dyDescent="0.2">
      <c r="A8" t="s">
        <v>6</v>
      </c>
      <c r="C8" s="10">
        <v>0.61214199999999996</v>
      </c>
      <c r="D8" s="28" t="s">
        <v>39</v>
      </c>
      <c r="E8" s="52" t="s">
        <v>1</v>
      </c>
    </row>
    <row r="9" spans="1:6" x14ac:dyDescent="0.2">
      <c r="A9" s="26" t="s">
        <v>36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INTERCEPT(INDIRECT($D$9):G991,INDIRECT($C$9):F991)</f>
        <v>-1.5765822912558239E-3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SLOPE(INDIRECT($D$9):G991,INDIRECT($C$9):F991)</f>
        <v>-9.4271921605741542E-7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(C7+C11)+(C8+C12)*INT(MAX(F21:F3532))</f>
        <v>57867.182035549704</v>
      </c>
      <c r="E15" s="16" t="s">
        <v>44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0.61214105728078394</v>
      </c>
      <c r="E16" s="16" t="s">
        <v>33</v>
      </c>
      <c r="F16" s="17">
        <f ca="1">NOW()+15018.5+$C$5/24</f>
        <v>60314.560725347219</v>
      </c>
    </row>
    <row r="17" spans="1:21" ht="13.5" thickBot="1" x14ac:dyDescent="0.25">
      <c r="A17" s="16" t="s">
        <v>30</v>
      </c>
      <c r="B17" s="12"/>
      <c r="C17" s="12">
        <f>COUNT(C21:C2190)</f>
        <v>16</v>
      </c>
      <c r="E17" s="16" t="s">
        <v>45</v>
      </c>
      <c r="F17" s="17">
        <f ca="1">ROUND(2*(F16-$C$7)/$C$8,0)/2+F15</f>
        <v>9099</v>
      </c>
    </row>
    <row r="18" spans="1:21" ht="14.25" thickTop="1" thickBot="1" x14ac:dyDescent="0.25">
      <c r="A18" s="18" t="s">
        <v>8</v>
      </c>
      <c r="B18" s="12"/>
      <c r="C18" s="21">
        <f ca="1">+C15</f>
        <v>57867.182035549704</v>
      </c>
      <c r="D18" s="22">
        <f ca="1">+C16</f>
        <v>0.61214105728078394</v>
      </c>
      <c r="E18" s="16" t="s">
        <v>34</v>
      </c>
      <c r="F18" s="25">
        <f ca="1">ROUND(2*(F16-$C$15)/$C$16,0)/2+F15</f>
        <v>3999</v>
      </c>
    </row>
    <row r="19" spans="1:21" ht="13.5" thickTop="1" x14ac:dyDescent="0.2">
      <c r="E19" s="16" t="s">
        <v>35</v>
      </c>
      <c r="F19" s="20">
        <f ca="1">+$C$15+$C$16*F18-15018.5-$C$5/24</f>
        <v>45297.029956948893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1" t="s">
        <v>114</v>
      </c>
    </row>
    <row r="21" spans="1:21" x14ac:dyDescent="0.2">
      <c r="A21" s="29" t="s">
        <v>43</v>
      </c>
      <c r="B21" s="30" t="s">
        <v>40</v>
      </c>
      <c r="C21" s="29">
        <v>51280.847699999998</v>
      </c>
      <c r="D21" s="29">
        <v>8.0000000000000004E-4</v>
      </c>
      <c r="E21" s="31">
        <f t="shared" ref="E21:E34" si="0">+(C21-C$7)/C$8</f>
        <v>-5659.4981556566927</v>
      </c>
      <c r="F21" s="31">
        <f t="shared" ref="F21:F36" si="1">ROUND(2*E21,0)/2</f>
        <v>-5659.5</v>
      </c>
      <c r="G21">
        <f t="shared" ref="G21:G34" si="2">+C21-(C$7+F21*C$8)</f>
        <v>1.1290000038570724E-3</v>
      </c>
      <c r="H21">
        <f>+G21</f>
        <v>1.1290000038570724E-3</v>
      </c>
      <c r="O21">
        <f t="shared" ref="O21:O34" ca="1" si="3">+C$11+C$12*$F21</f>
        <v>3.7587371120211188E-3</v>
      </c>
      <c r="Q21" s="2">
        <f t="shared" ref="Q21:Q34" si="4">+C21-15018.5</f>
        <v>36262.347699999998</v>
      </c>
    </row>
    <row r="22" spans="1:21" x14ac:dyDescent="0.2">
      <c r="A22" s="29" t="s">
        <v>43</v>
      </c>
      <c r="B22" s="30" t="s">
        <v>42</v>
      </c>
      <c r="C22" s="29">
        <v>51306.862999999998</v>
      </c>
      <c r="D22" s="29">
        <v>3.0000000000000001E-3</v>
      </c>
      <c r="E22" s="31">
        <f t="shared" si="0"/>
        <v>-5616.9993563584922</v>
      </c>
      <c r="F22" s="31">
        <f t="shared" si="1"/>
        <v>-5617</v>
      </c>
      <c r="G22">
        <f t="shared" si="2"/>
        <v>3.9400000241585076E-4</v>
      </c>
      <c r="H22">
        <f>+G22</f>
        <v>3.9400000241585076E-4</v>
      </c>
      <c r="O22">
        <f t="shared" ca="1" si="3"/>
        <v>3.7186715453386785E-3</v>
      </c>
      <c r="Q22" s="2">
        <f t="shared" si="4"/>
        <v>36288.362999999998</v>
      </c>
    </row>
    <row r="23" spans="1:21" x14ac:dyDescent="0.2">
      <c r="A23" s="32" t="s">
        <v>39</v>
      </c>
      <c r="B23" s="33" t="s">
        <v>40</v>
      </c>
      <c r="C23" s="34">
        <v>54521.521379999998</v>
      </c>
      <c r="D23" s="34">
        <v>2.0000000000000001E-4</v>
      </c>
      <c r="E23">
        <f t="shared" si="0"/>
        <v>-365.50806838935898</v>
      </c>
      <c r="F23">
        <f t="shared" si="1"/>
        <v>-365.5</v>
      </c>
      <c r="G23">
        <f t="shared" si="2"/>
        <v>-4.938999998557847E-3</v>
      </c>
      <c r="K23">
        <f t="shared" ref="K23:K28" si="5">+G23</f>
        <v>-4.938999998557847E-3</v>
      </c>
      <c r="O23">
        <f t="shared" ca="1" si="3"/>
        <v>-1.2320184177868386E-3</v>
      </c>
      <c r="Q23" s="2">
        <f t="shared" si="4"/>
        <v>39503.021379999998</v>
      </c>
    </row>
    <row r="24" spans="1:21" x14ac:dyDescent="0.2">
      <c r="A24" s="32" t="s">
        <v>41</v>
      </c>
      <c r="B24" s="33" t="s">
        <v>42</v>
      </c>
      <c r="C24" s="34">
        <v>54745.264219999997</v>
      </c>
      <c r="D24" s="34">
        <v>5.9999999999999995E-4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5"/>
        <v>0</v>
      </c>
      <c r="O24">
        <f t="shared" ca="1" si="3"/>
        <v>-1.5765822912558239E-3</v>
      </c>
      <c r="Q24" s="2">
        <f t="shared" si="4"/>
        <v>39726.764219999997</v>
      </c>
    </row>
    <row r="25" spans="1:21" x14ac:dyDescent="0.2">
      <c r="A25" s="32" t="s">
        <v>39</v>
      </c>
      <c r="B25" s="33" t="s">
        <v>40</v>
      </c>
      <c r="C25" s="34">
        <v>54946.35194</v>
      </c>
      <c r="D25" s="34">
        <v>2.0000000000000001E-4</v>
      </c>
      <c r="E25">
        <f t="shared" si="0"/>
        <v>328.49848564549268</v>
      </c>
      <c r="F25">
        <f t="shared" si="1"/>
        <v>328.5</v>
      </c>
      <c r="G25">
        <f t="shared" si="2"/>
        <v>-9.2699999368051067E-4</v>
      </c>
      <c r="K25">
        <f t="shared" si="5"/>
        <v>-9.2699999368051067E-4</v>
      </c>
      <c r="O25">
        <f t="shared" ca="1" si="3"/>
        <v>-1.8862655537306848E-3</v>
      </c>
      <c r="Q25" s="2">
        <f t="shared" si="4"/>
        <v>39927.85194</v>
      </c>
    </row>
    <row r="26" spans="1:21" x14ac:dyDescent="0.2">
      <c r="A26" s="35" t="s">
        <v>46</v>
      </c>
      <c r="B26" s="33" t="s">
        <v>42</v>
      </c>
      <c r="C26" s="34">
        <v>54950.331729999998</v>
      </c>
      <c r="D26" s="34">
        <v>2.9999999999999997E-4</v>
      </c>
      <c r="E26">
        <f t="shared" si="0"/>
        <v>334.99990198352799</v>
      </c>
      <c r="F26">
        <f t="shared" si="1"/>
        <v>335</v>
      </c>
      <c r="G26">
        <f t="shared" si="2"/>
        <v>-5.999999848427251E-5</v>
      </c>
      <c r="K26">
        <f t="shared" si="5"/>
        <v>-5.999999848427251E-5</v>
      </c>
      <c r="O26">
        <f t="shared" ca="1" si="3"/>
        <v>-1.892393228635058E-3</v>
      </c>
      <c r="Q26" s="2">
        <f t="shared" si="4"/>
        <v>39931.831729999998</v>
      </c>
    </row>
    <row r="27" spans="1:21" x14ac:dyDescent="0.2">
      <c r="A27" s="35" t="s">
        <v>46</v>
      </c>
      <c r="B27" s="33" t="s">
        <v>42</v>
      </c>
      <c r="C27" s="34">
        <v>55357.407500000001</v>
      </c>
      <c r="D27" s="34">
        <v>1E-3</v>
      </c>
      <c r="E27">
        <f t="shared" si="0"/>
        <v>1000.0020910181034</v>
      </c>
      <c r="F27">
        <f t="shared" si="1"/>
        <v>1000</v>
      </c>
      <c r="G27">
        <f t="shared" si="2"/>
        <v>1.2800000040442683E-3</v>
      </c>
      <c r="K27">
        <f t="shared" si="5"/>
        <v>1.2800000040442683E-3</v>
      </c>
      <c r="O27">
        <f t="shared" ca="1" si="3"/>
        <v>-2.5193015073132394E-3</v>
      </c>
      <c r="Q27" s="2">
        <f t="shared" si="4"/>
        <v>40338.907500000001</v>
      </c>
    </row>
    <row r="28" spans="1:21" x14ac:dyDescent="0.2">
      <c r="A28" s="35" t="s">
        <v>50</v>
      </c>
      <c r="B28" s="33" t="s">
        <v>42</v>
      </c>
      <c r="C28" s="34">
        <v>55617.563349999997</v>
      </c>
      <c r="D28" s="34">
        <v>2.0000000000000001E-4</v>
      </c>
      <c r="E28">
        <f t="shared" si="0"/>
        <v>1424.9947397825986</v>
      </c>
      <c r="F28">
        <f t="shared" si="1"/>
        <v>1425</v>
      </c>
      <c r="G28">
        <f t="shared" si="2"/>
        <v>-3.2199999986914918E-3</v>
      </c>
      <c r="K28">
        <f t="shared" si="5"/>
        <v>-3.2199999986914918E-3</v>
      </c>
      <c r="O28">
        <f t="shared" ca="1" si="3"/>
        <v>-2.9199571741376409E-3</v>
      </c>
      <c r="Q28" s="2">
        <f t="shared" si="4"/>
        <v>40599.063349999997</v>
      </c>
    </row>
    <row r="29" spans="1:21" x14ac:dyDescent="0.2">
      <c r="A29" s="36" t="s">
        <v>48</v>
      </c>
      <c r="B29" s="37" t="s">
        <v>42</v>
      </c>
      <c r="C29" s="36">
        <v>55662.555800000002</v>
      </c>
      <c r="D29" s="36">
        <v>2.3999999999999998E-3</v>
      </c>
      <c r="E29" s="31">
        <f t="shared" si="0"/>
        <v>1498.4947610195097</v>
      </c>
      <c r="F29" s="31">
        <f t="shared" si="1"/>
        <v>1498.5</v>
      </c>
      <c r="G29">
        <f t="shared" si="2"/>
        <v>-3.206999994290527E-3</v>
      </c>
      <c r="J29">
        <f>+G29</f>
        <v>-3.206999994290527E-3</v>
      </c>
      <c r="O29">
        <f t="shared" ca="1" si="3"/>
        <v>-2.9892470365178612E-3</v>
      </c>
      <c r="Q29" s="2">
        <f t="shared" si="4"/>
        <v>40644.055800000002</v>
      </c>
    </row>
    <row r="30" spans="1:21" x14ac:dyDescent="0.2">
      <c r="A30" s="36" t="s">
        <v>48</v>
      </c>
      <c r="B30" s="37" t="s">
        <v>42</v>
      </c>
      <c r="C30" s="36">
        <v>55692.552499999998</v>
      </c>
      <c r="D30" s="36">
        <v>4.0000000000000001E-3</v>
      </c>
      <c r="E30" s="31">
        <f t="shared" si="0"/>
        <v>1547.4976067644448</v>
      </c>
      <c r="F30" s="31">
        <f t="shared" si="1"/>
        <v>1547.5</v>
      </c>
      <c r="G30">
        <f t="shared" si="2"/>
        <v>-1.4650000011897646E-3</v>
      </c>
      <c r="J30">
        <f>+G30</f>
        <v>-1.4650000011897646E-3</v>
      </c>
      <c r="O30">
        <f t="shared" ca="1" si="3"/>
        <v>-3.0354402781046742E-3</v>
      </c>
      <c r="Q30" s="2">
        <f t="shared" si="4"/>
        <v>40674.052499999998</v>
      </c>
    </row>
    <row r="31" spans="1:21" x14ac:dyDescent="0.2">
      <c r="A31" s="34" t="s">
        <v>49</v>
      </c>
      <c r="B31" s="33" t="s">
        <v>42</v>
      </c>
      <c r="C31" s="34">
        <v>56077.891199999998</v>
      </c>
      <c r="D31" s="34">
        <v>6.9999999999999999E-4</v>
      </c>
      <c r="E31" s="31">
        <f t="shared" si="0"/>
        <v>2176.9899467770565</v>
      </c>
      <c r="F31" s="31">
        <f t="shared" si="1"/>
        <v>2177</v>
      </c>
      <c r="G31">
        <f t="shared" si="2"/>
        <v>-6.154000002425164E-3</v>
      </c>
      <c r="K31">
        <f>+G31</f>
        <v>-6.154000002425164E-3</v>
      </c>
      <c r="O31">
        <f t="shared" ca="1" si="3"/>
        <v>-3.6288820246128169E-3</v>
      </c>
      <c r="Q31" s="2">
        <f t="shared" si="4"/>
        <v>41059.391199999998</v>
      </c>
    </row>
    <row r="32" spans="1:21" x14ac:dyDescent="0.2">
      <c r="A32" s="35" t="s">
        <v>50</v>
      </c>
      <c r="B32" s="33" t="s">
        <v>42</v>
      </c>
      <c r="C32" s="34">
        <v>56105.437539999999</v>
      </c>
      <c r="D32" s="34">
        <v>2.9999999999999997E-4</v>
      </c>
      <c r="E32">
        <f t="shared" si="0"/>
        <v>2221.9898650966634</v>
      </c>
      <c r="F32">
        <f t="shared" si="1"/>
        <v>2222</v>
      </c>
      <c r="G32">
        <f t="shared" si="2"/>
        <v>-6.2039999975240789E-3</v>
      </c>
      <c r="K32">
        <f>+G32</f>
        <v>-6.2039999975240789E-3</v>
      </c>
      <c r="O32">
        <f t="shared" ca="1" si="3"/>
        <v>-3.671304389335401E-3</v>
      </c>
      <c r="Q32" s="2">
        <f t="shared" si="4"/>
        <v>41086.937539999999</v>
      </c>
    </row>
    <row r="33" spans="1:17" x14ac:dyDescent="0.2">
      <c r="A33" s="35" t="s">
        <v>50</v>
      </c>
      <c r="B33" s="33" t="s">
        <v>40</v>
      </c>
      <c r="C33" s="34">
        <v>56177.364699999998</v>
      </c>
      <c r="D33" s="34">
        <v>2.9999999999999997E-4</v>
      </c>
      <c r="E33">
        <f t="shared" si="0"/>
        <v>2339.4906410604094</v>
      </c>
      <c r="F33">
        <f t="shared" si="1"/>
        <v>2339.5</v>
      </c>
      <c r="G33">
        <f t="shared" si="2"/>
        <v>-5.7289999967906624E-3</v>
      </c>
      <c r="K33">
        <f>+G33</f>
        <v>-5.7289999967906624E-3</v>
      </c>
      <c r="O33">
        <f t="shared" ca="1" si="3"/>
        <v>-3.7820738972221477E-3</v>
      </c>
      <c r="Q33" s="2">
        <f t="shared" si="4"/>
        <v>41158.864699999998</v>
      </c>
    </row>
    <row r="34" spans="1:17" x14ac:dyDescent="0.2">
      <c r="A34" s="53" t="s">
        <v>51</v>
      </c>
      <c r="B34" s="54" t="s">
        <v>42</v>
      </c>
      <c r="C34" s="34">
        <v>56516.491900000001</v>
      </c>
      <c r="D34" s="55">
        <v>2.9999999999999997E-4</v>
      </c>
      <c r="E34" s="31">
        <f t="shared" si="0"/>
        <v>2893.4915101398101</v>
      </c>
      <c r="F34" s="31">
        <f t="shared" si="1"/>
        <v>2893.5</v>
      </c>
      <c r="G34">
        <f t="shared" si="2"/>
        <v>-5.1969999985885806E-3</v>
      </c>
      <c r="J34">
        <f>+G34</f>
        <v>-5.1969999985885806E-3</v>
      </c>
      <c r="O34">
        <f t="shared" ca="1" si="3"/>
        <v>-4.3043403429179556E-3</v>
      </c>
      <c r="Q34" s="2">
        <f t="shared" si="4"/>
        <v>41497.991900000001</v>
      </c>
    </row>
    <row r="35" spans="1:17" x14ac:dyDescent="0.2">
      <c r="A35" s="56" t="s">
        <v>2</v>
      </c>
      <c r="B35" s="57" t="s">
        <v>42</v>
      </c>
      <c r="C35" s="58">
        <v>57516.428099999997</v>
      </c>
      <c r="D35" s="58">
        <v>1.6000000000000001E-3</v>
      </c>
      <c r="E35">
        <f>+(C35-C$7)/C$8</f>
        <v>4526.9951743222982</v>
      </c>
      <c r="F35">
        <f t="shared" si="1"/>
        <v>4527</v>
      </c>
      <c r="G35">
        <f>+C35-(C$7+F35*C$8)</f>
        <v>-2.9540000032284297E-3</v>
      </c>
      <c r="K35">
        <f>+G35</f>
        <v>-2.9540000032284297E-3</v>
      </c>
      <c r="O35">
        <f ca="1">+C$11+C$12*$F35</f>
        <v>-5.8442721823477439E-3</v>
      </c>
      <c r="Q35" s="2">
        <f>+C35-15018.5</f>
        <v>42497.928099999997</v>
      </c>
    </row>
    <row r="36" spans="1:17" x14ac:dyDescent="0.2">
      <c r="A36" s="59" t="s">
        <v>0</v>
      </c>
      <c r="B36" s="60" t="s">
        <v>42</v>
      </c>
      <c r="C36" s="60">
        <v>57867.4876</v>
      </c>
      <c r="D36" s="60">
        <v>2.0999999999999999E-3</v>
      </c>
      <c r="E36">
        <f>+(C36-C$7)/C$8</f>
        <v>5100.4887428080465</v>
      </c>
      <c r="F36">
        <f t="shared" si="1"/>
        <v>5100.5</v>
      </c>
      <c r="G36">
        <f>+C36-(C$7+F36*C$8)</f>
        <v>-6.8909999972674996E-3</v>
      </c>
      <c r="K36">
        <f>+G36</f>
        <v>-6.8909999972674996E-3</v>
      </c>
      <c r="O36">
        <f ca="1">+C$11+C$12*$F36</f>
        <v>-6.3849216527566716E-3</v>
      </c>
      <c r="Q36" s="2">
        <f>+C36-15018.5</f>
        <v>42848.9876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659" r:id="rId1" display="http://vsolj.cetus-net.org/bulletin.html"/>
    <hyperlink ref="H64481" r:id="rId2" display="http://vsolj.cetus-net.org/bulletin.html"/>
    <hyperlink ref="H64474" r:id="rId3" display="https://www.aavso.org/ejaavso"/>
    <hyperlink ref="AP625" r:id="rId4" display="http://cdsbib.u-strasbg.fr/cgi-bin/cdsbib?1990RMxAA..21..381G"/>
    <hyperlink ref="AP629" r:id="rId5" display="http://cdsbib.u-strasbg.fr/cgi-bin/cdsbib?1990RMxAA..21..381G"/>
    <hyperlink ref="AP628" r:id="rId6" display="http://cdsbib.u-strasbg.fr/cgi-bin/cdsbib?1990RMxAA..21..381G"/>
    <hyperlink ref="AP609" r:id="rId7" display="http://cdsbib.u-strasbg.fr/cgi-bin/cdsbib?1990RMxAA..21..381G"/>
    <hyperlink ref="I64481" r:id="rId8" display="http://vsolj.cetus-net.org/bulletin.html"/>
    <hyperlink ref="AQ765" r:id="rId9" display="http://cdsbib.u-strasbg.fr/cgi-bin/cdsbib?1990RMxAA..21..381G"/>
    <hyperlink ref="AQ55531" r:id="rId10" display="http://cdsbib.u-strasbg.fr/cgi-bin/cdsbib?1990RMxAA..21..381G"/>
    <hyperlink ref="AQ766" r:id="rId11" display="http://cdsbib.u-strasbg.fr/cgi-bin/cdsbib?1990RMxAA..21..381G"/>
    <hyperlink ref="H64478" r:id="rId12" display="https://www.aavso.org/ejaavso"/>
    <hyperlink ref="H1651" r:id="rId13" display="http://vsolj.cetus-net.org/bulletin.html"/>
    <hyperlink ref="AP2895" r:id="rId14" display="http://cdsbib.u-strasbg.fr/cgi-bin/cdsbib?1990RMxAA..21..381G"/>
    <hyperlink ref="AP2898" r:id="rId15" display="http://cdsbib.u-strasbg.fr/cgi-bin/cdsbib?1990RMxAA..21..381G"/>
    <hyperlink ref="AP2896" r:id="rId16" display="http://cdsbib.u-strasbg.fr/cgi-bin/cdsbib?1990RMxAA..21..381G"/>
    <hyperlink ref="AP2880" r:id="rId17" display="http://cdsbib.u-strasbg.fr/cgi-bin/cdsbib?1990RMxAA..21..381G"/>
    <hyperlink ref="I1651" r:id="rId18" display="http://vsolj.cetus-net.org/bulletin.html"/>
    <hyperlink ref="AQ3109" r:id="rId19" display="http://cdsbib.u-strasbg.fr/cgi-bin/cdsbib?1990RMxAA..21..381G"/>
    <hyperlink ref="AQ65346" r:id="rId20" display="http://cdsbib.u-strasbg.fr/cgi-bin/cdsbib?1990RMxAA..21..381G"/>
    <hyperlink ref="AQ3113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21" sqref="A21:D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52</v>
      </c>
      <c r="I1" s="39" t="s">
        <v>53</v>
      </c>
      <c r="J1" s="40" t="s">
        <v>54</v>
      </c>
    </row>
    <row r="2" spans="1:16" x14ac:dyDescent="0.2">
      <c r="I2" s="41" t="s">
        <v>55</v>
      </c>
      <c r="J2" s="42" t="s">
        <v>56</v>
      </c>
    </row>
    <row r="3" spans="1:16" x14ac:dyDescent="0.2">
      <c r="A3" s="43" t="s">
        <v>57</v>
      </c>
      <c r="I3" s="41" t="s">
        <v>58</v>
      </c>
      <c r="J3" s="42" t="s">
        <v>59</v>
      </c>
    </row>
    <row r="4" spans="1:16" x14ac:dyDescent="0.2">
      <c r="I4" s="41" t="s">
        <v>60</v>
      </c>
      <c r="J4" s="42" t="s">
        <v>59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OEJV 0107 </v>
      </c>
      <c r="B11" s="3" t="str">
        <f t="shared" ref="B11:B21" si="1">IF(H11=INT(H11),"I","II")</f>
        <v>II</v>
      </c>
      <c r="C11" s="10">
        <f t="shared" ref="C11:C21" si="2">1*G11</f>
        <v>54521.521379999998</v>
      </c>
      <c r="D11" s="12" t="str">
        <f t="shared" ref="D11:D21" si="3">VLOOKUP(F11,I$1:J$5,2,FALSE)</f>
        <v>vis</v>
      </c>
      <c r="E11" s="46">
        <f>VLOOKUP(C11,Active!C$21:E$972,3,FALSE)</f>
        <v>-365.50806838935898</v>
      </c>
      <c r="F11" s="3" t="s">
        <v>61</v>
      </c>
      <c r="G11" s="12" t="str">
        <f t="shared" ref="G11:G21" si="4">MID(I11,3,LEN(I11)-3)</f>
        <v>54521.52138</v>
      </c>
      <c r="H11" s="10">
        <f t="shared" ref="H11:H21" si="5">1*K11</f>
        <v>3301.5</v>
      </c>
      <c r="I11" s="47" t="s">
        <v>63</v>
      </c>
      <c r="J11" s="48" t="s">
        <v>64</v>
      </c>
      <c r="K11" s="47">
        <v>3301.5</v>
      </c>
      <c r="L11" s="47" t="s">
        <v>65</v>
      </c>
      <c r="M11" s="48" t="s">
        <v>66</v>
      </c>
      <c r="N11" s="48" t="s">
        <v>67</v>
      </c>
      <c r="O11" s="49" t="s">
        <v>68</v>
      </c>
      <c r="P11" s="50" t="s">
        <v>69</v>
      </c>
    </row>
    <row r="12" spans="1:16" ht="12.75" customHeight="1" thickBot="1" x14ac:dyDescent="0.25">
      <c r="A12" s="10" t="str">
        <f t="shared" si="0"/>
        <v>OEJV 0094 </v>
      </c>
      <c r="B12" s="3" t="str">
        <f t="shared" si="1"/>
        <v>I</v>
      </c>
      <c r="C12" s="10">
        <f t="shared" si="2"/>
        <v>54745.264219999997</v>
      </c>
      <c r="D12" s="12" t="str">
        <f t="shared" si="3"/>
        <v>vis</v>
      </c>
      <c r="E12" s="46">
        <f>VLOOKUP(C12,Active!C$21:E$972,3,FALSE)</f>
        <v>0</v>
      </c>
      <c r="F12" s="3" t="s">
        <v>61</v>
      </c>
      <c r="G12" s="12" t="str">
        <f t="shared" si="4"/>
        <v>54745.26422</v>
      </c>
      <c r="H12" s="10">
        <f t="shared" si="5"/>
        <v>3667</v>
      </c>
      <c r="I12" s="47" t="s">
        <v>70</v>
      </c>
      <c r="J12" s="48" t="s">
        <v>71</v>
      </c>
      <c r="K12" s="47">
        <v>3667</v>
      </c>
      <c r="L12" s="47" t="s">
        <v>72</v>
      </c>
      <c r="M12" s="48" t="s">
        <v>66</v>
      </c>
      <c r="N12" s="48" t="s">
        <v>67</v>
      </c>
      <c r="O12" s="49" t="s">
        <v>73</v>
      </c>
      <c r="P12" s="50" t="s">
        <v>74</v>
      </c>
    </row>
    <row r="13" spans="1:16" ht="12.75" customHeight="1" thickBot="1" x14ac:dyDescent="0.25">
      <c r="A13" s="10" t="str">
        <f t="shared" si="0"/>
        <v>OEJV 0107 </v>
      </c>
      <c r="B13" s="3" t="str">
        <f t="shared" si="1"/>
        <v>II</v>
      </c>
      <c r="C13" s="10">
        <f t="shared" si="2"/>
        <v>54946.35194</v>
      </c>
      <c r="D13" s="12" t="str">
        <f t="shared" si="3"/>
        <v>vis</v>
      </c>
      <c r="E13" s="46">
        <f>VLOOKUP(C13,Active!C$21:E$972,3,FALSE)</f>
        <v>328.49848564549268</v>
      </c>
      <c r="F13" s="3" t="s">
        <v>61</v>
      </c>
      <c r="G13" s="12" t="str">
        <f t="shared" si="4"/>
        <v>54946.35194</v>
      </c>
      <c r="H13" s="10">
        <f t="shared" si="5"/>
        <v>3995.5</v>
      </c>
      <c r="I13" s="47" t="s">
        <v>75</v>
      </c>
      <c r="J13" s="48" t="s">
        <v>76</v>
      </c>
      <c r="K13" s="47">
        <v>3995.5</v>
      </c>
      <c r="L13" s="47" t="s">
        <v>72</v>
      </c>
      <c r="M13" s="48" t="s">
        <v>66</v>
      </c>
      <c r="N13" s="48" t="s">
        <v>67</v>
      </c>
      <c r="O13" s="49" t="s">
        <v>68</v>
      </c>
      <c r="P13" s="50" t="s">
        <v>69</v>
      </c>
    </row>
    <row r="14" spans="1:16" ht="12.75" customHeight="1" thickBot="1" x14ac:dyDescent="0.25">
      <c r="A14" s="10" t="str">
        <f t="shared" si="0"/>
        <v>OEJV 0137 </v>
      </c>
      <c r="B14" s="3" t="str">
        <f t="shared" si="1"/>
        <v>I</v>
      </c>
      <c r="C14" s="10">
        <f t="shared" si="2"/>
        <v>55357.407500000001</v>
      </c>
      <c r="D14" s="12" t="str">
        <f t="shared" si="3"/>
        <v>vis</v>
      </c>
      <c r="E14" s="46">
        <f>VLOOKUP(C14,Active!C$21:E$972,3,FALSE)</f>
        <v>1000.0020910181034</v>
      </c>
      <c r="F14" s="3" t="s">
        <v>61</v>
      </c>
      <c r="G14" s="12" t="str">
        <f t="shared" si="4"/>
        <v>55357.4075</v>
      </c>
      <c r="H14" s="10">
        <f t="shared" si="5"/>
        <v>4667</v>
      </c>
      <c r="I14" s="47" t="s">
        <v>81</v>
      </c>
      <c r="J14" s="48" t="s">
        <v>82</v>
      </c>
      <c r="K14" s="47">
        <v>4667</v>
      </c>
      <c r="L14" s="47" t="s">
        <v>83</v>
      </c>
      <c r="M14" s="48" t="s">
        <v>66</v>
      </c>
      <c r="N14" s="48" t="s">
        <v>53</v>
      </c>
      <c r="O14" s="49" t="s">
        <v>84</v>
      </c>
      <c r="P14" s="50" t="s">
        <v>80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55617.563349999997</v>
      </c>
      <c r="D15" s="12" t="str">
        <f t="shared" si="3"/>
        <v>vis</v>
      </c>
      <c r="E15" s="46">
        <f>VLOOKUP(C15,Active!C$21:E$972,3,FALSE)</f>
        <v>1424.9947397825986</v>
      </c>
      <c r="F15" s="3" t="s">
        <v>61</v>
      </c>
      <c r="G15" s="12" t="str">
        <f t="shared" si="4"/>
        <v>55617.56335</v>
      </c>
      <c r="H15" s="10">
        <f t="shared" si="5"/>
        <v>5092</v>
      </c>
      <c r="I15" s="47" t="s">
        <v>85</v>
      </c>
      <c r="J15" s="48" t="s">
        <v>86</v>
      </c>
      <c r="K15" s="47">
        <v>5092</v>
      </c>
      <c r="L15" s="47" t="s">
        <v>87</v>
      </c>
      <c r="M15" s="48" t="s">
        <v>66</v>
      </c>
      <c r="N15" s="48" t="s">
        <v>67</v>
      </c>
      <c r="O15" s="49" t="s">
        <v>68</v>
      </c>
      <c r="P15" s="50" t="s">
        <v>88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II</v>
      </c>
      <c r="C16" s="10">
        <f t="shared" si="2"/>
        <v>55662.555800000002</v>
      </c>
      <c r="D16" s="12" t="str">
        <f t="shared" si="3"/>
        <v>vis</v>
      </c>
      <c r="E16" s="46">
        <f>VLOOKUP(C16,Active!C$21:E$972,3,FALSE)</f>
        <v>1498.4947610195097</v>
      </c>
      <c r="F16" s="3" t="s">
        <v>61</v>
      </c>
      <c r="G16" s="12" t="str">
        <f t="shared" si="4"/>
        <v>55662.5558</v>
      </c>
      <c r="H16" s="10">
        <f t="shared" si="5"/>
        <v>5165.5</v>
      </c>
      <c r="I16" s="47" t="s">
        <v>89</v>
      </c>
      <c r="J16" s="48" t="s">
        <v>90</v>
      </c>
      <c r="K16" s="47">
        <v>5165.5</v>
      </c>
      <c r="L16" s="47" t="s">
        <v>91</v>
      </c>
      <c r="M16" s="48" t="s">
        <v>66</v>
      </c>
      <c r="N16" s="48" t="s">
        <v>92</v>
      </c>
      <c r="O16" s="49" t="s">
        <v>93</v>
      </c>
      <c r="P16" s="50" t="s">
        <v>94</v>
      </c>
    </row>
    <row r="17" spans="1:16" ht="12.75" customHeight="1" thickBot="1" x14ac:dyDescent="0.25">
      <c r="A17" s="10" t="str">
        <f t="shared" si="0"/>
        <v>IBVS 6029 </v>
      </c>
      <c r="B17" s="3" t="str">
        <f t="shared" si="1"/>
        <v>I</v>
      </c>
      <c r="C17" s="10">
        <f t="shared" si="2"/>
        <v>56077.891199999998</v>
      </c>
      <c r="D17" s="12" t="str">
        <f t="shared" si="3"/>
        <v>vis</v>
      </c>
      <c r="E17" s="46">
        <f>VLOOKUP(C17,Active!C$21:E$972,3,FALSE)</f>
        <v>2176.9899467770565</v>
      </c>
      <c r="F17" s="3" t="s">
        <v>61</v>
      </c>
      <c r="G17" s="12" t="str">
        <f t="shared" si="4"/>
        <v>56077.8912</v>
      </c>
      <c r="H17" s="10">
        <f t="shared" si="5"/>
        <v>5844</v>
      </c>
      <c r="I17" s="47" t="s">
        <v>95</v>
      </c>
      <c r="J17" s="48" t="s">
        <v>96</v>
      </c>
      <c r="K17" s="47" t="s">
        <v>97</v>
      </c>
      <c r="L17" s="47" t="s">
        <v>98</v>
      </c>
      <c r="M17" s="48" t="s">
        <v>66</v>
      </c>
      <c r="N17" s="48" t="s">
        <v>61</v>
      </c>
      <c r="O17" s="49" t="s">
        <v>99</v>
      </c>
      <c r="P17" s="50" t="s">
        <v>100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56105.437539999999</v>
      </c>
      <c r="D18" s="12" t="str">
        <f t="shared" si="3"/>
        <v>vis</v>
      </c>
      <c r="E18" s="46">
        <f>VLOOKUP(C18,Active!C$21:E$972,3,FALSE)</f>
        <v>2221.9898650966634</v>
      </c>
      <c r="F18" s="3" t="s">
        <v>61</v>
      </c>
      <c r="G18" s="12" t="str">
        <f t="shared" si="4"/>
        <v>56105.43754</v>
      </c>
      <c r="H18" s="10">
        <f t="shared" si="5"/>
        <v>5889</v>
      </c>
      <c r="I18" s="47" t="s">
        <v>101</v>
      </c>
      <c r="J18" s="48" t="s">
        <v>102</v>
      </c>
      <c r="K18" s="47" t="s">
        <v>103</v>
      </c>
      <c r="L18" s="47" t="s">
        <v>104</v>
      </c>
      <c r="M18" s="48" t="s">
        <v>66</v>
      </c>
      <c r="N18" s="48" t="s">
        <v>67</v>
      </c>
      <c r="O18" s="49" t="s">
        <v>68</v>
      </c>
      <c r="P18" s="50" t="s">
        <v>88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56177.364699999998</v>
      </c>
      <c r="D19" s="12" t="str">
        <f t="shared" si="3"/>
        <v>vis</v>
      </c>
      <c r="E19" s="46">
        <f>VLOOKUP(C19,Active!C$21:E$972,3,FALSE)</f>
        <v>2339.4906410604094</v>
      </c>
      <c r="F19" s="3" t="s">
        <v>61</v>
      </c>
      <c r="G19" s="12" t="str">
        <f t="shared" si="4"/>
        <v>56177.3647</v>
      </c>
      <c r="H19" s="10">
        <f t="shared" si="5"/>
        <v>6006.5</v>
      </c>
      <c r="I19" s="47" t="s">
        <v>105</v>
      </c>
      <c r="J19" s="48" t="s">
        <v>106</v>
      </c>
      <c r="K19" s="47" t="s">
        <v>107</v>
      </c>
      <c r="L19" s="47" t="s">
        <v>79</v>
      </c>
      <c r="M19" s="48" t="s">
        <v>66</v>
      </c>
      <c r="N19" s="48" t="s">
        <v>67</v>
      </c>
      <c r="O19" s="49" t="s">
        <v>68</v>
      </c>
      <c r="P19" s="50" t="s">
        <v>88</v>
      </c>
    </row>
    <row r="20" spans="1:16" ht="12.75" customHeight="1" thickBot="1" x14ac:dyDescent="0.25">
      <c r="A20" s="10" t="str">
        <f t="shared" si="0"/>
        <v>BAVM 234 </v>
      </c>
      <c r="B20" s="3" t="str">
        <f t="shared" si="1"/>
        <v>II</v>
      </c>
      <c r="C20" s="10">
        <f t="shared" si="2"/>
        <v>56516.491900000001</v>
      </c>
      <c r="D20" s="12" t="str">
        <f t="shared" si="3"/>
        <v>vis</v>
      </c>
      <c r="E20" s="46">
        <f>VLOOKUP(C20,Active!C$21:E$972,3,FALSE)</f>
        <v>2893.4915101398101</v>
      </c>
      <c r="F20" s="3" t="s">
        <v>61</v>
      </c>
      <c r="G20" s="12" t="str">
        <f t="shared" si="4"/>
        <v>56516.4919</v>
      </c>
      <c r="H20" s="10">
        <f t="shared" si="5"/>
        <v>6560.5</v>
      </c>
      <c r="I20" s="47" t="s">
        <v>108</v>
      </c>
      <c r="J20" s="48" t="s">
        <v>109</v>
      </c>
      <c r="K20" s="47" t="s">
        <v>110</v>
      </c>
      <c r="L20" s="47" t="s">
        <v>111</v>
      </c>
      <c r="M20" s="48" t="s">
        <v>66</v>
      </c>
      <c r="N20" s="48" t="s">
        <v>61</v>
      </c>
      <c r="O20" s="49" t="s">
        <v>112</v>
      </c>
      <c r="P20" s="50" t="s">
        <v>113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54950.331700000002</v>
      </c>
      <c r="D21" s="12" t="str">
        <f t="shared" si="3"/>
        <v>vis</v>
      </c>
      <c r="E21" s="46" t="e">
        <f>VLOOKUP(C21,Active!C$21:E$972,3,FALSE)</f>
        <v>#N/A</v>
      </c>
      <c r="F21" s="3" t="s">
        <v>61</v>
      </c>
      <c r="G21" s="12" t="str">
        <f t="shared" si="4"/>
        <v>54950.3317</v>
      </c>
      <c r="H21" s="10">
        <f t="shared" si="5"/>
        <v>4002</v>
      </c>
      <c r="I21" s="47" t="s">
        <v>77</v>
      </c>
      <c r="J21" s="48" t="s">
        <v>78</v>
      </c>
      <c r="K21" s="47">
        <v>4002</v>
      </c>
      <c r="L21" s="47" t="s">
        <v>79</v>
      </c>
      <c r="M21" s="48" t="s">
        <v>66</v>
      </c>
      <c r="N21" s="48" t="s">
        <v>67</v>
      </c>
      <c r="O21" s="49" t="s">
        <v>68</v>
      </c>
      <c r="P21" s="50" t="s">
        <v>80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</sheetData>
  <phoneticPr fontId="8" type="noConversion"/>
  <hyperlinks>
    <hyperlink ref="P11" r:id="rId1" display="http://var.astro.cz/oejv/issues/oejv0107.pdf"/>
    <hyperlink ref="P12" r:id="rId2" display="http://var.astro.cz/oejv/issues/oejv0094.pdf"/>
    <hyperlink ref="P13" r:id="rId3" display="http://var.astro.cz/oejv/issues/oejv0107.pdf"/>
    <hyperlink ref="P21" r:id="rId4" display="http://var.astro.cz/oejv/issues/oejv0137.pdf"/>
    <hyperlink ref="P14" r:id="rId5" display="http://var.astro.cz/oejv/issues/oejv0137.pdf"/>
    <hyperlink ref="P15" r:id="rId6" display="http://var.astro.cz/oejv/issues/oejv0160.pdf"/>
    <hyperlink ref="P16" r:id="rId7" display="http://www.bav-astro.de/sfs/BAVM_link.php?BAVMnr=220"/>
    <hyperlink ref="P17" r:id="rId8" display="http://www.konkoly.hu/cgi-bin/IBVS?6029"/>
    <hyperlink ref="P18" r:id="rId9" display="http://var.astro.cz/oejv/issues/oejv0160.pdf"/>
    <hyperlink ref="P19" r:id="rId10" display="http://var.astro.cz/oejv/issues/oejv0160.pdf"/>
    <hyperlink ref="P20" r:id="rId11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2024-01-05T00:27:26Z</dcterms:modified>
</cp:coreProperties>
</file>