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16F052A4-8542-49ED-AE48-4E0DF066ED84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55" i="1" l="1"/>
  <c r="Q56" i="1"/>
  <c r="Q57" i="1"/>
  <c r="Q58" i="1"/>
  <c r="Q59" i="1"/>
  <c r="Q48" i="1"/>
  <c r="Q49" i="1"/>
  <c r="Q50" i="1"/>
  <c r="Q51" i="1"/>
  <c r="Q52" i="1"/>
  <c r="Q53" i="1"/>
  <c r="Q54" i="1"/>
  <c r="Q40" i="1"/>
  <c r="D9" i="1"/>
  <c r="C9" i="1"/>
  <c r="G17" i="2"/>
  <c r="C17" i="2"/>
  <c r="E17" i="2"/>
  <c r="G16" i="2"/>
  <c r="C16" i="2"/>
  <c r="G15" i="2"/>
  <c r="C15" i="2"/>
  <c r="G14" i="2"/>
  <c r="C14" i="2"/>
  <c r="G13" i="2"/>
  <c r="C13" i="2"/>
  <c r="E13" i="2"/>
  <c r="G19" i="2"/>
  <c r="C19" i="2"/>
  <c r="E19" i="2"/>
  <c r="G18" i="2"/>
  <c r="C18" i="2"/>
  <c r="E18" i="2"/>
  <c r="G12" i="2"/>
  <c r="C12" i="2"/>
  <c r="G11" i="2"/>
  <c r="C11" i="2"/>
  <c r="H17" i="2"/>
  <c r="B17" i="2"/>
  <c r="D17" i="2"/>
  <c r="A17" i="2"/>
  <c r="H16" i="2"/>
  <c r="D16" i="2"/>
  <c r="B16" i="2"/>
  <c r="A16" i="2"/>
  <c r="H15" i="2"/>
  <c r="B15" i="2"/>
  <c r="D15" i="2"/>
  <c r="A15" i="2"/>
  <c r="H14" i="2"/>
  <c r="D14" i="2"/>
  <c r="B14" i="2"/>
  <c r="A14" i="2"/>
  <c r="H13" i="2"/>
  <c r="B13" i="2"/>
  <c r="D13" i="2"/>
  <c r="A13" i="2"/>
  <c r="H19" i="2"/>
  <c r="D19" i="2"/>
  <c r="B19" i="2"/>
  <c r="A19" i="2"/>
  <c r="H18" i="2"/>
  <c r="B18" i="2"/>
  <c r="D18" i="2"/>
  <c r="A18" i="2"/>
  <c r="H12" i="2"/>
  <c r="D12" i="2"/>
  <c r="B12" i="2"/>
  <c r="A12" i="2"/>
  <c r="H11" i="2"/>
  <c r="B11" i="2"/>
  <c r="D11" i="2"/>
  <c r="A11" i="2"/>
  <c r="Q43" i="1"/>
  <c r="Q44" i="1"/>
  <c r="Q42" i="1"/>
  <c r="F16" i="1"/>
  <c r="F17" i="1" s="1"/>
  <c r="Q47" i="1"/>
  <c r="Q46" i="1"/>
  <c r="Q45" i="1"/>
  <c r="Q35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8" i="1"/>
  <c r="Q41" i="1"/>
  <c r="Q37" i="1"/>
  <c r="Q39" i="1"/>
  <c r="Q36" i="1"/>
  <c r="C7" i="1"/>
  <c r="E55" i="1"/>
  <c r="F55" i="1"/>
  <c r="C8" i="1"/>
  <c r="Q34" i="1"/>
  <c r="C17" i="1"/>
  <c r="E22" i="1"/>
  <c r="F22" i="1"/>
  <c r="U22" i="1"/>
  <c r="E47" i="1"/>
  <c r="F47" i="1"/>
  <c r="G47" i="1"/>
  <c r="K47" i="1"/>
  <c r="E52" i="1"/>
  <c r="F52" i="1"/>
  <c r="E29" i="1"/>
  <c r="F29" i="1"/>
  <c r="G29" i="1"/>
  <c r="K29" i="1"/>
  <c r="E44" i="1"/>
  <c r="F44" i="1"/>
  <c r="E34" i="1"/>
  <c r="F34" i="1"/>
  <c r="G34" i="1"/>
  <c r="H34" i="1"/>
  <c r="E49" i="1"/>
  <c r="F49" i="1"/>
  <c r="G49" i="1"/>
  <c r="K49" i="1"/>
  <c r="E33" i="1"/>
  <c r="F33" i="1"/>
  <c r="E41" i="1"/>
  <c r="F41" i="1"/>
  <c r="G41" i="1"/>
  <c r="J41" i="1"/>
  <c r="E54" i="1"/>
  <c r="F54" i="1"/>
  <c r="G54" i="1"/>
  <c r="K54" i="1"/>
  <c r="E25" i="1"/>
  <c r="F25" i="1"/>
  <c r="U25" i="1"/>
  <c r="I25" i="1"/>
  <c r="E32" i="1"/>
  <c r="F32" i="1"/>
  <c r="U32" i="1"/>
  <c r="I32" i="1"/>
  <c r="E43" i="1"/>
  <c r="F43" i="1"/>
  <c r="G43" i="1"/>
  <c r="K43" i="1"/>
  <c r="E24" i="1"/>
  <c r="F24" i="1"/>
  <c r="U24" i="1"/>
  <c r="I24" i="1"/>
  <c r="E40" i="1"/>
  <c r="F40" i="1"/>
  <c r="G40" i="1"/>
  <c r="H40" i="1"/>
  <c r="E53" i="1"/>
  <c r="F53" i="1"/>
  <c r="G53" i="1"/>
  <c r="K53" i="1"/>
  <c r="E11" i="2"/>
  <c r="E48" i="1"/>
  <c r="F48" i="1"/>
  <c r="U26" i="1"/>
  <c r="I26" i="1"/>
  <c r="E21" i="1"/>
  <c r="F21" i="1"/>
  <c r="U21" i="1"/>
  <c r="E37" i="1"/>
  <c r="F37" i="1"/>
  <c r="E38" i="1"/>
  <c r="F38" i="1"/>
  <c r="G38" i="1"/>
  <c r="J38" i="1"/>
  <c r="E58" i="1"/>
  <c r="F58" i="1"/>
  <c r="E26" i="1"/>
  <c r="F26" i="1"/>
  <c r="G27" i="1"/>
  <c r="K27" i="1"/>
  <c r="E31" i="1"/>
  <c r="F31" i="1"/>
  <c r="U31" i="1"/>
  <c r="I31" i="1"/>
  <c r="E36" i="1"/>
  <c r="F36" i="1"/>
  <c r="G36" i="1"/>
  <c r="J36" i="1"/>
  <c r="E56" i="1"/>
  <c r="F56" i="1"/>
  <c r="G56" i="1"/>
  <c r="K56" i="1"/>
  <c r="U33" i="1"/>
  <c r="E30" i="1"/>
  <c r="F30" i="1"/>
  <c r="U30" i="1"/>
  <c r="I30" i="1"/>
  <c r="E35" i="1"/>
  <c r="F35" i="1"/>
  <c r="U35" i="1"/>
  <c r="E59" i="1"/>
  <c r="F59" i="1"/>
  <c r="G59" i="1"/>
  <c r="K59" i="1"/>
  <c r="G44" i="1"/>
  <c r="K44" i="1"/>
  <c r="G52" i="1"/>
  <c r="K52" i="1"/>
  <c r="E39" i="1"/>
  <c r="F39" i="1"/>
  <c r="G39" i="1"/>
  <c r="K39" i="1"/>
  <c r="E27" i="1"/>
  <c r="F27" i="1"/>
  <c r="E46" i="1"/>
  <c r="F46" i="1"/>
  <c r="G46" i="1"/>
  <c r="K46" i="1"/>
  <c r="E51" i="1"/>
  <c r="F51" i="1"/>
  <c r="G51" i="1"/>
  <c r="K51" i="1"/>
  <c r="E23" i="1"/>
  <c r="F23" i="1"/>
  <c r="U23" i="1"/>
  <c r="E57" i="1"/>
  <c r="F57" i="1"/>
  <c r="G57" i="1"/>
  <c r="K57" i="1"/>
  <c r="G55" i="1"/>
  <c r="K55" i="1"/>
  <c r="G48" i="1"/>
  <c r="K48" i="1"/>
  <c r="E45" i="1"/>
  <c r="F45" i="1"/>
  <c r="G45" i="1"/>
  <c r="K45" i="1"/>
  <c r="E50" i="1"/>
  <c r="F50" i="1"/>
  <c r="G50" i="1"/>
  <c r="K50" i="1"/>
  <c r="G58" i="1"/>
  <c r="K58" i="1"/>
  <c r="E28" i="1"/>
  <c r="F28" i="1"/>
  <c r="G28" i="1"/>
  <c r="K28" i="1"/>
  <c r="E42" i="1"/>
  <c r="F42" i="1"/>
  <c r="G42" i="1"/>
  <c r="J42" i="1"/>
  <c r="E16" i="2"/>
  <c r="E15" i="2"/>
  <c r="E12" i="2"/>
  <c r="E14" i="2"/>
  <c r="C11" i="1"/>
  <c r="C12" i="1"/>
  <c r="C16" i="1" l="1"/>
  <c r="D18" i="1" s="1"/>
  <c r="O45" i="1"/>
  <c r="O59" i="1"/>
  <c r="O31" i="1"/>
  <c r="O41" i="1"/>
  <c r="O48" i="1"/>
  <c r="O55" i="1"/>
  <c r="O24" i="1"/>
  <c r="O28" i="1"/>
  <c r="O57" i="1"/>
  <c r="O47" i="1"/>
  <c r="O32" i="1"/>
  <c r="O56" i="1"/>
  <c r="O44" i="1"/>
  <c r="O30" i="1"/>
  <c r="O35" i="1"/>
  <c r="O29" i="1"/>
  <c r="O21" i="1"/>
  <c r="O23" i="1"/>
  <c r="O38" i="1"/>
  <c r="O50" i="1"/>
  <c r="O27" i="1"/>
  <c r="O25" i="1"/>
  <c r="O36" i="1"/>
  <c r="O53" i="1"/>
  <c r="C15" i="1"/>
  <c r="O51" i="1"/>
  <c r="O40" i="1"/>
  <c r="O49" i="1"/>
  <c r="O33" i="1"/>
  <c r="O54" i="1"/>
  <c r="O34" i="1"/>
  <c r="O46" i="1"/>
  <c r="O42" i="1"/>
  <c r="O22" i="1"/>
  <c r="O52" i="1"/>
  <c r="O43" i="1"/>
  <c r="O39" i="1"/>
  <c r="O26" i="1"/>
  <c r="O58" i="1"/>
  <c r="O37" i="1"/>
  <c r="F18" i="1" l="1"/>
  <c r="F19" i="1" s="1"/>
  <c r="C18" i="1"/>
</calcChain>
</file>

<file path=xl/sharedStrings.xml><?xml version="1.0" encoding="utf-8"?>
<sst xmlns="http://schemas.openxmlformats.org/spreadsheetml/2006/main" count="212" uniqueCount="113">
  <si>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</si>
  <si>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</si>
  <si>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</si>
  <si>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</si>
  <si>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</si>
  <si>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</si>
  <si>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</si>
  <si>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</si>
  <si>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</si>
  <si>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</si>
  <si>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</si>
  <si>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</si>
  <si>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</si>
  <si>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</si>
  <si>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</si>
  <si>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</si>
  <si>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</si>
  <si>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</si>
  <si>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</si>
  <si>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</si>
  <si>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</si>
  <si>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</si>
  <si>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</si>
  <si>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</si>
  <si>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</si>
  <si>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</si>
  <si>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</si>
  <si>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</si>
  <si>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</si>
  <si>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</si>
  <si>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</si>
  <si>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</si>
  <si>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</si>
  <si>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I</t>
  </si>
  <si>
    <t>Kreiner</t>
  </si>
  <si>
    <t>Kreiner Eph.</t>
  </si>
  <si>
    <t xml:space="preserve">LZ Dra / GSC 4456-1244               </t>
  </si>
  <si>
    <t xml:space="preserve">EW/KW     </t>
  </si>
  <si>
    <t>IBVS 5802</t>
  </si>
  <si>
    <t>OEJV 0107</t>
  </si>
  <si>
    <t>II</t>
  </si>
  <si>
    <t>OEJV 0003</t>
  </si>
  <si>
    <t>IBVS 5207</t>
  </si>
  <si>
    <t>IBVS 5959</t>
  </si>
  <si>
    <t>IBVS 6010</t>
  </si>
  <si>
    <t>OEJV 0160</t>
  </si>
  <si>
    <t>BAD?</t>
  </si>
  <si>
    <t>Add cycle</t>
  </si>
  <si>
    <t>Old Cycle</t>
  </si>
  <si>
    <t>IBVS 6118</t>
  </si>
  <si>
    <t>OEJV 0165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</si>
  <si>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</si>
  <si>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</si>
  <si>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</si>
  <si>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</si>
  <si>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</si>
  <si>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</si>
  <si>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</si>
  <si>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</si>
  <si>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</si>
  <si>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</si>
  <si>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</si>
  <si>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2454187.4947 </t>
  </si>
  <si>
    <t> 27.03.2007 23:52 </t>
  </si>
  <si>
    <t> -0.0029 </t>
  </si>
  <si>
    <t>C </t>
  </si>
  <si>
    <t>-I</t>
  </si>
  <si>
    <t> F.Agerer </t>
  </si>
  <si>
    <t>BAVM 186 </t>
  </si>
  <si>
    <t>2454942.4969 </t>
  </si>
  <si>
    <t> 20.04.2009 23:55 </t>
  </si>
  <si>
    <t>6971</t>
  </si>
  <si>
    <t> -0.0009 </t>
  </si>
  <si>
    <t> K.&amp; M.Rätz </t>
  </si>
  <si>
    <t>BAVM 214 </t>
  </si>
  <si>
    <t>2454946.3523 </t>
  </si>
  <si>
    <t> 24.04.2009 20:27 </t>
  </si>
  <si>
    <t>6982</t>
  </si>
  <si>
    <t> 0.0007 </t>
  </si>
  <si>
    <t>R</t>
  </si>
  <si>
    <t> R.Ehrenberger </t>
  </si>
  <si>
    <t>OEJV 107 </t>
  </si>
  <si>
    <t>2455028.5066 </t>
  </si>
  <si>
    <t> 16.07.2009 00:09 </t>
  </si>
  <si>
    <t>7216.5</t>
  </si>
  <si>
    <t> -0.0017 </t>
  </si>
  <si>
    <t>BAVM 212 </t>
  </si>
  <si>
    <t>2455674.3757 </t>
  </si>
  <si>
    <t> 22.04.2011 21:01 </t>
  </si>
  <si>
    <t>9060</t>
  </si>
  <si>
    <t> 0.0006 </t>
  </si>
  <si>
    <t>BAVM 220 </t>
  </si>
  <si>
    <t>2456397.4922 </t>
  </si>
  <si>
    <t> 14.04.2013 23:48 </t>
  </si>
  <si>
    <t>11124</t>
  </si>
  <si>
    <t> -0.0014 </t>
  </si>
  <si>
    <t> M.&amp; K.Rätz </t>
  </si>
  <si>
    <t>BAVM 234 </t>
  </si>
  <si>
    <t>2456478.42341 </t>
  </si>
  <si>
    <t> 04.07.2013 22:09 </t>
  </si>
  <si>
    <t>11355</t>
  </si>
  <si>
    <t> -0.00061 </t>
  </si>
  <si>
    <t>B</t>
  </si>
  <si>
    <t> R.Auer </t>
  </si>
  <si>
    <t>OEJV 0160 </t>
  </si>
  <si>
    <t>2456478.42452 </t>
  </si>
  <si>
    <t> 04.07.2013 22:11 </t>
  </si>
  <si>
    <t> 0.00050 </t>
  </si>
  <si>
    <t>2456478.42514 </t>
  </si>
  <si>
    <t> 04.07.2013 22:12 </t>
  </si>
  <si>
    <t> 0.00112 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</si>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</sst>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9">
    <xf numFmtId="0" fontId="0" fillId="0" borderId="0">
      <alignment vertical="top"/>
    </xf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9" borderId="0" applyNumberFormat="0" applyBorder="0" applyAlignment="0" applyProtection="0"/>
    <xf numFmtId="0" fontId="23" fillId="3" borderId="0" applyNumberFormat="0" applyBorder="0" applyAlignment="0" applyProtection="0"/>
    <xf numFmtId="0" fontId="24" fillId="20" borderId="1" applyNumberFormat="0" applyAlignment="0" applyProtection="0"/>
    <xf numFmtId="0" fontId="25" fillId="21" borderId="2" applyNumberFormat="0" applyAlignment="0" applyProtection="0"/>
    <xf numFmtId="3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27" fillId="0" borderId="0" applyNumberFormat="0" applyFill="0" applyBorder="0" applyAlignment="0" applyProtection="0"/>
    <xf numFmtId="2" fontId="37" fillId="0" borderId="0" applyFont="0" applyFill="0" applyBorder="0" applyAlignment="0" applyProtection="0"/>
    <xf numFmtId="0" fontId="28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9" fillId="0" borderId="3" applyNumberFormat="0" applyFill="0" applyAlignment="0" applyProtection="0"/>
    <xf numFmtId="0" fontId="29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30" fillId="7" borderId="1" applyNumberFormat="0" applyAlignment="0" applyProtection="0"/>
    <xf numFmtId="0" fontId="31" fillId="0" borderId="4" applyNumberFormat="0" applyFill="0" applyAlignment="0" applyProtection="0"/>
    <xf numFmtId="0" fontId="32" fillId="22" borderId="0" applyNumberFormat="0" applyBorder="0" applyAlignment="0" applyProtection="0"/>
    <xf numFmtId="0" fontId="6" fillId="0" borderId="0"/>
    <xf numFmtId="0" fontId="26" fillId="0" borderId="0"/>
    <xf numFmtId="0" fontId="26" fillId="23" borderId="5" applyNumberFormat="0" applyFont="0" applyAlignment="0" applyProtection="0"/>
    <xf numFmtId="0" fontId="33" fillId="20" borderId="6" applyNumberFormat="0" applyAlignment="0" applyProtection="0"/>
    <xf numFmtId="0" fontId="34" fillId="0" borderId="0" applyNumberFormat="0" applyFill="0" applyBorder="0" applyAlignment="0" applyProtection="0"/>
    <xf numFmtId="0" fontId="37" fillId="0" borderId="7" applyNumberFormat="0" applyFont="0" applyFill="0" applyAlignment="0" applyProtection="0"/>
    <xf numFmtId="0" fontId="35" fillId="0" borderId="0" applyNumberFormat="0" applyFill="0" applyBorder="0" applyAlignment="0" applyProtection="0"/>
  </cellStyleXfs>
  <cellXfs count="64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5" fillId="0" borderId="0" xfId="0" applyFont="1">
      <alignment vertical="top"/>
    </xf>
    <xf numFmtId="0" fontId="16" fillId="0" borderId="8" xfId="0" applyFont="1" applyFill="1" applyBorder="1" applyAlignment="1">
      <alignment horizontal="center"/>
    </xf>
    <xf numFmtId="0" fontId="17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wrapText="1"/>
    </xf>
    <xf numFmtId="0" fontId="5" fillId="0" borderId="0" xfId="0" applyFont="1" applyAlignment="1">
      <alignment horizontal="lef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9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4" borderId="17" xfId="0" applyFont="1" applyFill="1" applyBorder="1" applyAlignment="1">
      <alignment horizontal="left" vertical="top" wrapText="1" indent="1"/>
    </xf>
    <xf numFmtId="0" fontId="5" fillId="24" borderId="17" xfId="0" applyFont="1" applyFill="1" applyBorder="1" applyAlignment="1">
      <alignment horizontal="center" vertical="top" wrapText="1"/>
    </xf>
    <xf numFmtId="0" fontId="5" fillId="24" borderId="17" xfId="0" applyFont="1" applyFill="1" applyBorder="1" applyAlignment="1">
      <alignment horizontal="right" vertical="top" wrapText="1"/>
    </xf>
    <xf numFmtId="0" fontId="19" fillId="24" borderId="17" xfId="38" applyFill="1" applyBorder="1" applyAlignment="1" applyProtection="1">
      <alignment horizontal="right" vertical="top" wrapText="1"/>
    </xf>
    <xf numFmtId="0" fontId="20" fillId="0" borderId="0" xfId="0" applyFont="1" applyAlignme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/>
    </xf>
    <xf numFmtId="0" fontId="36" fillId="0" borderId="0" xfId="43" applyFont="1"/>
    <xf numFmtId="0" fontId="36" fillId="0" borderId="0" xfId="43" applyFont="1" applyAlignment="1">
      <alignment horizontal="center"/>
    </xf>
    <xf numFmtId="0" fontId="36" fillId="0" borderId="0" xfId="43" applyFont="1" applyAlignment="1">
      <alignment horizontal="left"/>
    </xf>
    <xf numFmtId="0" fontId="36" fillId="0" borderId="0" xfId="42" applyFont="1"/>
    <xf numFmtId="0" fontId="36" fillId="0" borderId="0" xfId="42" applyFont="1" applyAlignment="1">
      <alignment horizontal="center"/>
    </xf>
    <xf numFmtId="0" fontId="36" fillId="0" borderId="0" xfId="42" applyFont="1" applyAlignment="1">
      <alignment horizontal="left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rmal_A_1" xfId="43"/>
    <cellStyle name="Note" xfId="44" builtinId="10" customBuiltin="1"/>
    <cellStyle name="Output" xfId="45" builtinId="21" customBuiltin="1"/>
    <cellStyle name="Title" xfId="46" builtinId="15" customBuiltin="1"/>
    <cellStyle name="Total" xfId="47" builtinId="25" customBuiltin="1"/>
    <cellStyle name="Warning Text" xfId="48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LZ Dra - O-C Diagr.</a:t>
            </a:r>
          </a:p>
        </c:rich>
      </c:tx>
      <c:layout>
        <c:manualLayout>
          <c:xMode val="edge"/>
          <c:yMode val="edge"/>
          <c:x val="0.39322564060935683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54795982427614"/>
          <c:y val="0.14035127795846455"/>
          <c:w val="0.8217973509105122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Active!$D$21:$D$222</c:f>
                <c:numCache>
                  <c:formatCode>General</c:formatCode>
                  <c:ptCount val="20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Active!$D$21:$D$222</c:f>
                <c:numCache>
                  <c:formatCode>General</c:formatCode>
                  <c:ptCount val="20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Active!$H$21:$H$982</c:f>
              <c:numCache>
                <c:formatCode>General</c:formatCode>
                <c:ptCount val="962"/>
                <c:pt idx="13">
                  <c:v>0</c:v>
                </c:pt>
                <c:pt idx="19">
                  <c:v>1.9577599996409845E-2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696-49D3-9B5F-A42BE31B67B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Active!$I$21:$I$982</c:f>
              <c:numCache>
                <c:formatCode>General</c:formatCode>
                <c:ptCount val="962"/>
                <c:pt idx="3">
                  <c:v>-1.6078399996331427E-2</c:v>
                </c:pt>
                <c:pt idx="4">
                  <c:v>-2.1100800004205666E-2</c:v>
                </c:pt>
                <c:pt idx="5">
                  <c:v>-2.2763200002373196E-2</c:v>
                </c:pt>
                <c:pt idx="9">
                  <c:v>1.2905599993246142E-2</c:v>
                </c:pt>
                <c:pt idx="10">
                  <c:v>6.9199999998090789E-3</c:v>
                </c:pt>
                <c:pt idx="11">
                  <c:v>1.0055999999167398E-2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696-49D3-9B5F-A42BE31B67B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Active!$J$21:$J$982</c:f>
              <c:numCache>
                <c:formatCode>General</c:formatCode>
                <c:ptCount val="962"/>
                <c:pt idx="15">
                  <c:v>1.2290400001802482E-2</c:v>
                </c:pt>
                <c:pt idx="17">
                  <c:v>1.9722400000318885E-2</c:v>
                </c:pt>
                <c:pt idx="20">
                  <c:v>2.656399999250425E-2</c:v>
                </c:pt>
                <c:pt idx="21">
                  <c:v>2.9745599997113459E-2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696-49D3-9B5F-A42BE31B67B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Active!$K$21:$K$982</c:f>
              <c:numCache>
                <c:formatCode>General</c:formatCode>
                <c:ptCount val="962"/>
                <c:pt idx="6">
                  <c:v>-8.2695999954012223E-3</c:v>
                </c:pt>
                <c:pt idx="7">
                  <c:v>-8.7447999976575375E-3</c:v>
                </c:pt>
                <c:pt idx="8">
                  <c:v>-7.7056000009179115E-3</c:v>
                </c:pt>
                <c:pt idx="18">
                  <c:v>2.1360799997637514E-2</c:v>
                </c:pt>
                <c:pt idx="22">
                  <c:v>3.0441999995673541E-2</c:v>
                </c:pt>
                <c:pt idx="23">
                  <c:v>3.1061999994562939E-2</c:v>
                </c:pt>
                <c:pt idx="24">
                  <c:v>3.1122000000323169E-2</c:v>
                </c:pt>
                <c:pt idx="25">
                  <c:v>3.2231999997748062E-2</c:v>
                </c:pt>
                <c:pt idx="26">
                  <c:v>3.285199999663746E-2</c:v>
                </c:pt>
                <c:pt idx="27">
                  <c:v>3.662560000520898E-2</c:v>
                </c:pt>
                <c:pt idx="28">
                  <c:v>3.7025600002380088E-2</c:v>
                </c:pt>
                <c:pt idx="29">
                  <c:v>3.7035599998489488E-2</c:v>
                </c:pt>
                <c:pt idx="30">
                  <c:v>3.7872799999604467E-2</c:v>
                </c:pt>
                <c:pt idx="31">
                  <c:v>3.8192799998796545E-2</c:v>
                </c:pt>
                <c:pt idx="32">
                  <c:v>3.8412800000514835E-2</c:v>
                </c:pt>
                <c:pt idx="33">
                  <c:v>3.8734000001568347E-2</c:v>
                </c:pt>
                <c:pt idx="34">
                  <c:v>4.2409200112160761E-2</c:v>
                </c:pt>
                <c:pt idx="35">
                  <c:v>4.2739199830975849E-2</c:v>
                </c:pt>
                <c:pt idx="36">
                  <c:v>4.2849200202908833E-2</c:v>
                </c:pt>
                <c:pt idx="37">
                  <c:v>4.3049199863162357E-2</c:v>
                </c:pt>
                <c:pt idx="38">
                  <c:v>5.893919996015029E-2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696-49D3-9B5F-A42BE31B67B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Active!$L$21:$L$982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696-49D3-9B5F-A42BE31B67B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Active!$M$21:$M$982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696-49D3-9B5F-A42BE31B67B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plus>
            <c:minus>
              <c:numRef>
                <c:f>Active!$D$21:$D$982</c:f>
                <c:numCache>
                  <c:formatCode>General</c:formatCode>
                  <c:ptCount val="962"/>
                  <c:pt idx="0">
                    <c:v>5.0000000000000001E-3</c:v>
                  </c:pt>
                  <c:pt idx="1">
                    <c:v>5.0000000000000001E-3</c:v>
                  </c:pt>
                  <c:pt idx="2">
                    <c:v>5.0000000000000001E-3</c:v>
                  </c:pt>
                  <c:pt idx="3">
                    <c:v>5.0000000000000001E-3</c:v>
                  </c:pt>
                  <c:pt idx="4">
                    <c:v>5.0000000000000001E-3</c:v>
                  </c:pt>
                  <c:pt idx="5">
                    <c:v>5.0000000000000001E-3</c:v>
                  </c:pt>
                  <c:pt idx="6">
                    <c:v>5.9999999999999995E-4</c:v>
                  </c:pt>
                  <c:pt idx="7">
                    <c:v>1.1000000000000001E-3</c:v>
                  </c:pt>
                  <c:pt idx="8">
                    <c:v>8.9999999999999998E-4</c:v>
                  </c:pt>
                  <c:pt idx="9">
                    <c:v>5.0000000000000001E-3</c:v>
                  </c:pt>
                  <c:pt idx="10">
                    <c:v>5.0000000000000001E-3</c:v>
                  </c:pt>
                  <c:pt idx="11">
                    <c:v>5.0000000000000001E-3</c:v>
                  </c:pt>
                  <c:pt idx="12">
                    <c:v>5.0000000000000001E-3</c:v>
                  </c:pt>
                  <c:pt idx="14">
                    <c:v>3.0000000000000001E-3</c:v>
                  </c:pt>
                  <c:pt idx="15">
                    <c:v>8.0000000000000004E-4</c:v>
                  </c:pt>
                  <c:pt idx="16">
                    <c:v>2.9999999999999997E-4</c:v>
                  </c:pt>
                  <c:pt idx="17">
                    <c:v>2.0000000000000001E-4</c:v>
                  </c:pt>
                  <c:pt idx="18">
                    <c:v>4.0000000000000002E-4</c:v>
                  </c:pt>
                  <c:pt idx="19">
                    <c:v>0</c:v>
                  </c:pt>
                  <c:pt idx="20">
                    <c:v>1.1000000000000001E-3</c:v>
                  </c:pt>
                  <c:pt idx="21">
                    <c:v>2.0000000000000001E-4</c:v>
                  </c:pt>
                  <c:pt idx="22">
                    <c:v>1.8000000000000001E-4</c:v>
                  </c:pt>
                  <c:pt idx="23">
                    <c:v>3.6000000000000002E-4</c:v>
                  </c:pt>
                  <c:pt idx="24">
                    <c:v>2.9999999999999997E-4</c:v>
                  </c:pt>
                  <c:pt idx="25">
                    <c:v>2.0000000000000001E-4</c:v>
                  </c:pt>
                  <c:pt idx="26">
                    <c:v>4.0000000000000002E-4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2.9999999999999997E-4</c:v>
                  </c:pt>
                  <c:pt idx="30">
                    <c:v>5.0000000000000001E-4</c:v>
                  </c:pt>
                  <c:pt idx="31">
                    <c:v>6.9999999999999999E-4</c:v>
                  </c:pt>
                  <c:pt idx="32">
                    <c:v>4.0000000000000002E-4</c:v>
                  </c:pt>
                  <c:pt idx="33">
                    <c:v>1E-4</c:v>
                  </c:pt>
                  <c:pt idx="34">
                    <c:v>2.0000000000000001E-4</c:v>
                  </c:pt>
                  <c:pt idx="35">
                    <c:v>2.0000000000000001E-4</c:v>
                  </c:pt>
                  <c:pt idx="36">
                    <c:v>6.9999999999999999E-4</c:v>
                  </c:pt>
                  <c:pt idx="37">
                    <c:v>2.9999999999999997E-4</c:v>
                  </c:pt>
                  <c:pt idx="3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Active!$N$21:$N$982</c:f>
              <c:numCache>
                <c:formatCode>General</c:formatCode>
                <c:ptCount val="962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696-49D3-9B5F-A42BE31B67B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Active!$O$21:$O$982</c:f>
              <c:numCache>
                <c:formatCode>General</c:formatCode>
                <c:ptCount val="962"/>
                <c:pt idx="0">
                  <c:v>-1.0894936727808363E-2</c:v>
                </c:pt>
                <c:pt idx="1">
                  <c:v>-8.4621078232224468E-3</c:v>
                </c:pt>
                <c:pt idx="2">
                  <c:v>-8.420546377628544E-3</c:v>
                </c:pt>
                <c:pt idx="3">
                  <c:v>-8.3611728839229696E-3</c:v>
                </c:pt>
                <c:pt idx="4">
                  <c:v>-8.2750813180498869E-3</c:v>
                </c:pt>
                <c:pt idx="5">
                  <c:v>-8.1147728850448353E-3</c:v>
                </c:pt>
                <c:pt idx="6">
                  <c:v>-7.2419825275728909E-3</c:v>
                </c:pt>
                <c:pt idx="7">
                  <c:v>-7.1915150579231523E-3</c:v>
                </c:pt>
                <c:pt idx="8">
                  <c:v>-7.0638620464561668E-3</c:v>
                </c:pt>
                <c:pt idx="9">
                  <c:v>-5.2514861510935045E-3</c:v>
                </c:pt>
                <c:pt idx="10">
                  <c:v>-5.1743006092762577E-3</c:v>
                </c:pt>
                <c:pt idx="11">
                  <c:v>-5.1668789225630604E-3</c:v>
                </c:pt>
                <c:pt idx="12">
                  <c:v>-4.9887584414463372E-3</c:v>
                </c:pt>
                <c:pt idx="13">
                  <c:v>-2.1685174904315478E-3</c:v>
                </c:pt>
                <c:pt idx="14">
                  <c:v>6.0027595807981456E-3</c:v>
                </c:pt>
                <c:pt idx="15">
                  <c:v>1.2128619793870796E-2</c:v>
                </c:pt>
                <c:pt idx="16">
                  <c:v>1.8524629403303811E-2</c:v>
                </c:pt>
                <c:pt idx="17">
                  <c:v>1.8526113740646451E-2</c:v>
                </c:pt>
                <c:pt idx="18">
                  <c:v>1.8558769162184515E-2</c:v>
                </c:pt>
                <c:pt idx="19">
                  <c:v>1.9254923375882377E-2</c:v>
                </c:pt>
                <c:pt idx="20">
                  <c:v>2.4727675158193709E-2</c:v>
                </c:pt>
                <c:pt idx="21">
                  <c:v>3.0855019708608999E-2</c:v>
                </c:pt>
                <c:pt idx="22">
                  <c:v>3.1540783560908392E-2</c:v>
                </c:pt>
                <c:pt idx="23">
                  <c:v>3.1540783560908392E-2</c:v>
                </c:pt>
                <c:pt idx="24">
                  <c:v>3.1540783560908392E-2</c:v>
                </c:pt>
                <c:pt idx="25">
                  <c:v>3.1540783560908392E-2</c:v>
                </c:pt>
                <c:pt idx="26">
                  <c:v>3.1540783560908392E-2</c:v>
                </c:pt>
                <c:pt idx="27">
                  <c:v>3.9946585932275097E-2</c:v>
                </c:pt>
                <c:pt idx="28">
                  <c:v>3.9946585932275097E-2</c:v>
                </c:pt>
                <c:pt idx="29">
                  <c:v>3.9946585932275097E-2</c:v>
                </c:pt>
                <c:pt idx="30">
                  <c:v>3.9948070269617733E-2</c:v>
                </c:pt>
                <c:pt idx="31">
                  <c:v>3.9948070269617733E-2</c:v>
                </c:pt>
                <c:pt idx="32">
                  <c:v>3.9948070269617733E-2</c:v>
                </c:pt>
                <c:pt idx="33">
                  <c:v>4.0201891955209068E-2</c:v>
                </c:pt>
                <c:pt idx="34">
                  <c:v>4.3454075072931919E-2</c:v>
                </c:pt>
                <c:pt idx="35">
                  <c:v>4.3454075072931919E-2</c:v>
                </c:pt>
                <c:pt idx="36">
                  <c:v>4.3454075072931919E-2</c:v>
                </c:pt>
                <c:pt idx="37">
                  <c:v>4.3454075072931919E-2</c:v>
                </c:pt>
                <c:pt idx="38">
                  <c:v>4.4344677478515532E-2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696-49D3-9B5F-A42BE31B67B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Active!$F$21:$F$982</c:f>
              <c:numCache>
                <c:formatCode>General</c:formatCode>
                <c:ptCount val="962"/>
                <c:pt idx="0">
                  <c:v>-2939.5</c:v>
                </c:pt>
                <c:pt idx="1">
                  <c:v>-2120</c:v>
                </c:pt>
                <c:pt idx="2">
                  <c:v>-2106</c:v>
                </c:pt>
                <c:pt idx="3">
                  <c:v>-2086</c:v>
                </c:pt>
                <c:pt idx="4">
                  <c:v>-2057</c:v>
                </c:pt>
                <c:pt idx="5">
                  <c:v>-2003</c:v>
                </c:pt>
                <c:pt idx="6">
                  <c:v>-1709</c:v>
                </c:pt>
                <c:pt idx="7">
                  <c:v>-1692</c:v>
                </c:pt>
                <c:pt idx="8">
                  <c:v>-1649</c:v>
                </c:pt>
                <c:pt idx="9">
                  <c:v>-1038.5</c:v>
                </c:pt>
                <c:pt idx="10">
                  <c:v>-1012.5</c:v>
                </c:pt>
                <c:pt idx="11">
                  <c:v>-1010</c:v>
                </c:pt>
                <c:pt idx="12">
                  <c:v>-950</c:v>
                </c:pt>
                <c:pt idx="13">
                  <c:v>0</c:v>
                </c:pt>
                <c:pt idx="14">
                  <c:v>2752.5</c:v>
                </c:pt>
                <c:pt idx="15">
                  <c:v>4816</c:v>
                </c:pt>
                <c:pt idx="16">
                  <c:v>6970.5</c:v>
                </c:pt>
                <c:pt idx="17">
                  <c:v>6971</c:v>
                </c:pt>
                <c:pt idx="18">
                  <c:v>6982</c:v>
                </c:pt>
                <c:pt idx="19">
                  <c:v>7216.5</c:v>
                </c:pt>
                <c:pt idx="20">
                  <c:v>9060</c:v>
                </c:pt>
                <c:pt idx="21">
                  <c:v>11124</c:v>
                </c:pt>
                <c:pt idx="22">
                  <c:v>11355</c:v>
                </c:pt>
                <c:pt idx="23">
                  <c:v>11355</c:v>
                </c:pt>
                <c:pt idx="24">
                  <c:v>11355</c:v>
                </c:pt>
                <c:pt idx="25">
                  <c:v>11355</c:v>
                </c:pt>
                <c:pt idx="26">
                  <c:v>11355</c:v>
                </c:pt>
                <c:pt idx="27">
                  <c:v>14186.5</c:v>
                </c:pt>
                <c:pt idx="28">
                  <c:v>14186.5</c:v>
                </c:pt>
                <c:pt idx="29">
                  <c:v>14186.5</c:v>
                </c:pt>
                <c:pt idx="30">
                  <c:v>14187</c:v>
                </c:pt>
                <c:pt idx="31">
                  <c:v>14187</c:v>
                </c:pt>
                <c:pt idx="32">
                  <c:v>14187</c:v>
                </c:pt>
                <c:pt idx="33">
                  <c:v>14272.5</c:v>
                </c:pt>
                <c:pt idx="34">
                  <c:v>15368</c:v>
                </c:pt>
                <c:pt idx="35">
                  <c:v>15368</c:v>
                </c:pt>
                <c:pt idx="36">
                  <c:v>15368</c:v>
                </c:pt>
                <c:pt idx="37">
                  <c:v>15368</c:v>
                </c:pt>
                <c:pt idx="38">
                  <c:v>15668</c:v>
                </c:pt>
              </c:numCache>
            </c:numRef>
          </c:xVal>
          <c:yVal>
            <c:numRef>
              <c:f>Active!$U$21:$U$982</c:f>
              <c:numCache>
                <c:formatCode>General</c:formatCode>
                <c:ptCount val="962"/>
                <c:pt idx="0">
                  <c:v>-4.5108799997251481E-2</c:v>
                </c:pt>
                <c:pt idx="1">
                  <c:v>-2.3328000002948102E-2</c:v>
                </c:pt>
                <c:pt idx="2">
                  <c:v>-1.4166400003887247E-2</c:v>
                </c:pt>
                <c:pt idx="3">
                  <c:v>-1.6078399996331427E-2</c:v>
                </c:pt>
                <c:pt idx="4">
                  <c:v>-2.1100800004205666E-2</c:v>
                </c:pt>
                <c:pt idx="5">
                  <c:v>-2.2763200002373196E-2</c:v>
                </c:pt>
                <c:pt idx="9">
                  <c:v>1.2905599993246142E-2</c:v>
                </c:pt>
                <c:pt idx="10">
                  <c:v>6.9199999998090789E-3</c:v>
                </c:pt>
                <c:pt idx="11">
                  <c:v>1.0055999999167398E-2</c:v>
                </c:pt>
                <c:pt idx="12">
                  <c:v>1.1319999997795094E-2</c:v>
                </c:pt>
                <c:pt idx="14">
                  <c:v>2.7735999996366445E-2</c:v>
                </c:pt>
                <c:pt idx="16">
                  <c:v>5.9335199999623001E-2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696-49D3-9B5F-A42BE31B67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74937840"/>
        <c:axId val="1"/>
      </c:scatterChart>
      <c:valAx>
        <c:axId val="7749378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7735051159842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73637702503684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749378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7673783045161"/>
          <c:y val="0.92397937099967764"/>
          <c:w val="0.708395161944963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266700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49E659B-0BBE-B734-BFC0-04536B1A9F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var.astro.cz/oejv/issues/oejv0160.pdf" TargetMode="External"/><Relationship Id="rId3" Type="http://schemas.openxmlformats.org/officeDocument/2006/relationships/hyperlink" Target="http://var.astro.cz/oejv/issues/oejv107.pdf" TargetMode="External"/><Relationship Id="rId7" Type="http://schemas.openxmlformats.org/officeDocument/2006/relationships/hyperlink" Target="http://var.astro.cz/oejv/issues/oejv0160.pdf" TargetMode="External"/><Relationship Id="rId2" Type="http://schemas.openxmlformats.org/officeDocument/2006/relationships/hyperlink" Target="http://www.bav-astro.de/sfs/BAVM_link.php?BAVMnr=214" TargetMode="External"/><Relationship Id="rId1" Type="http://schemas.openxmlformats.org/officeDocument/2006/relationships/hyperlink" Target="http://www.bav-astro.de/sfs/BAVM_link.php?BAVMnr=186" TargetMode="External"/><Relationship Id="rId6" Type="http://schemas.openxmlformats.org/officeDocument/2006/relationships/hyperlink" Target="http://www.bav-astro.de/sfs/BAVM_link.php?BAVMnr=234" TargetMode="External"/><Relationship Id="rId5" Type="http://schemas.openxmlformats.org/officeDocument/2006/relationships/hyperlink" Target="http://www.bav-astro.de/sfs/BAVM_link.php?BAVMnr=220" TargetMode="External"/><Relationship Id="rId4" Type="http://schemas.openxmlformats.org/officeDocument/2006/relationships/hyperlink" Target="http://www.bav-astro.de/sfs/BAVM_link.php?BAVMnr=212" TargetMode="External"/><Relationship Id="rId9" Type="http://schemas.openxmlformats.org/officeDocument/2006/relationships/hyperlink" Target="http://var.astro.cz/oejv/issues/oejv01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23"/>
  <sheetViews>
    <sheetView tabSelected="1" workbookViewId="0">
      <pane xSplit="8" ySplit="20" topLeftCell="I39" activePane="bottomRight" state="frozen"/>
      <selection pane="topRight" activeCell="I1" sqref="I1"/>
      <selection pane="bottomLeft" activeCell="A21" sqref="A21"/>
      <selection pane="bottomRight" activeCell="F8" sqref="F8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20" width="9.85546875" customWidth="1"/>
  </cols>
  <sheetData>
    <row r="1" spans="1:8" ht="20.25" x14ac:dyDescent="0.3">
      <c r="A1" s="1" t="s">
        <v>36</v>
      </c>
      <c r="F1" s="3">
        <v>52500.218000000001</v>
      </c>
      <c r="G1" s="3">
        <v>0.35034559999999998</v>
      </c>
      <c r="H1" s="3" t="s">
        <v>37</v>
      </c>
    </row>
    <row r="2" spans="1:8" x14ac:dyDescent="0.2">
      <c r="A2" t="s">
        <v>22</v>
      </c>
      <c r="B2" t="s">
        <v>37</v>
      </c>
      <c r="C2" s="3"/>
      <c r="D2" s="3"/>
    </row>
    <row r="3" spans="1:8" ht="13.5" thickBot="1" x14ac:dyDescent="0.25"/>
    <row r="4" spans="1:8" ht="14.25" thickTop="1" thickBot="1" x14ac:dyDescent="0.25">
      <c r="A4" s="5" t="s">
        <v>35</v>
      </c>
      <c r="C4" s="8">
        <v>52500.218000000001</v>
      </c>
      <c r="D4" s="9">
        <v>0.35034559999999998</v>
      </c>
    </row>
    <row r="5" spans="1:8" ht="13.5" thickTop="1" x14ac:dyDescent="0.2">
      <c r="A5" s="11" t="s">
        <v>27</v>
      </c>
      <c r="B5" s="12"/>
      <c r="C5" s="13">
        <v>-9.5</v>
      </c>
      <c r="D5" s="12" t="s">
        <v>28</v>
      </c>
    </row>
    <row r="6" spans="1:8" x14ac:dyDescent="0.2">
      <c r="A6" s="5" t="s">
        <v>0</v>
      </c>
    </row>
    <row r="7" spans="1:8" x14ac:dyDescent="0.2">
      <c r="A7" t="s">
        <v>1</v>
      </c>
      <c r="C7">
        <f>C4</f>
        <v>52500.218000000001</v>
      </c>
    </row>
    <row r="8" spans="1:8" x14ac:dyDescent="0.2">
      <c r="A8" t="s">
        <v>2</v>
      </c>
      <c r="C8">
        <f>D4</f>
        <v>0.35034559999999998</v>
      </c>
      <c r="D8" s="28"/>
    </row>
    <row r="9" spans="1:8" x14ac:dyDescent="0.2">
      <c r="A9" s="26" t="s">
        <v>32</v>
      </c>
      <c r="B9" s="27">
        <v>21</v>
      </c>
      <c r="C9" s="24" t="str">
        <f>"F"&amp;B9</f>
        <v>F21</v>
      </c>
      <c r="D9" s="25" t="str">
        <f>"G"&amp;B9</f>
        <v>G21</v>
      </c>
    </row>
    <row r="10" spans="1:8" ht="13.5" thickBot="1" x14ac:dyDescent="0.25">
      <c r="A10" s="12"/>
      <c r="B10" s="12"/>
      <c r="C10" s="4" t="s">
        <v>18</v>
      </c>
      <c r="D10" s="4" t="s">
        <v>19</v>
      </c>
      <c r="E10" s="12"/>
    </row>
    <row r="11" spans="1:8" x14ac:dyDescent="0.2">
      <c r="A11" s="12" t="s">
        <v>14</v>
      </c>
      <c r="B11" s="12"/>
      <c r="C11" s="23">
        <f ca="1">INTERCEPT(INDIRECT($D$9):G975,INDIRECT($C$9):F975)</f>
        <v>-2.1685174904315478E-3</v>
      </c>
      <c r="D11" s="3"/>
      <c r="E11" s="12"/>
    </row>
    <row r="12" spans="1:8" x14ac:dyDescent="0.2">
      <c r="A12" s="12" t="s">
        <v>15</v>
      </c>
      <c r="B12" s="12"/>
      <c r="C12" s="23">
        <f ca="1">SLOPE(INDIRECT($D$9):G975,INDIRECT($C$9):F975)</f>
        <v>2.968674685278726E-6</v>
      </c>
      <c r="D12" s="3"/>
      <c r="E12" s="12"/>
    </row>
    <row r="13" spans="1:8" x14ac:dyDescent="0.2">
      <c r="A13" s="12" t="s">
        <v>17</v>
      </c>
      <c r="B13" s="12"/>
      <c r="C13" s="3" t="s">
        <v>12</v>
      </c>
    </row>
    <row r="14" spans="1:8" x14ac:dyDescent="0.2">
      <c r="A14" s="12"/>
      <c r="B14" s="12"/>
      <c r="C14" s="12"/>
    </row>
    <row r="15" spans="1:8" x14ac:dyDescent="0.2">
      <c r="A15" s="14" t="s">
        <v>16</v>
      </c>
      <c r="B15" s="12"/>
      <c r="C15" s="15">
        <f ca="1">(C7+C11)+(C8+C12)*INT(MAX(F21:F3516))</f>
        <v>57989.47720547748</v>
      </c>
      <c r="E15" s="16" t="s">
        <v>47</v>
      </c>
      <c r="F15" s="13">
        <v>1</v>
      </c>
    </row>
    <row r="16" spans="1:8" x14ac:dyDescent="0.2">
      <c r="A16" s="18" t="s">
        <v>3</v>
      </c>
      <c r="B16" s="12"/>
      <c r="C16" s="19">
        <f ca="1">+C8+C12</f>
        <v>0.35034856867468528</v>
      </c>
      <c r="E16" s="16" t="s">
        <v>29</v>
      </c>
      <c r="F16" s="17">
        <f ca="1">NOW()+15018.5+$C$5/24</f>
        <v>60314.562946296297</v>
      </c>
    </row>
    <row r="17" spans="1:21" ht="13.5" thickBot="1" x14ac:dyDescent="0.25">
      <c r="A17" s="16" t="s">
        <v>26</v>
      </c>
      <c r="B17" s="12"/>
      <c r="C17" s="12">
        <f>COUNT(C21:C2174)</f>
        <v>39</v>
      </c>
      <c r="E17" s="16" t="s">
        <v>48</v>
      </c>
      <c r="F17" s="17">
        <f ca="1">ROUND(2*(F16-$C$7)/$C$8,0)/2+F15</f>
        <v>22305.5</v>
      </c>
    </row>
    <row r="18" spans="1:21" ht="14.25" thickTop="1" thickBot="1" x14ac:dyDescent="0.25">
      <c r="A18" s="18" t="s">
        <v>4</v>
      </c>
      <c r="B18" s="12"/>
      <c r="C18" s="21">
        <f ca="1">+C15</f>
        <v>57989.47720547748</v>
      </c>
      <c r="D18" s="22">
        <f ca="1">+C16</f>
        <v>0.35034856867468528</v>
      </c>
      <c r="E18" s="16" t="s">
        <v>30</v>
      </c>
      <c r="F18" s="25">
        <f ca="1">ROUND(2*(F16-$C$15)/$C$16,0)/2+F15</f>
        <v>6637.5</v>
      </c>
    </row>
    <row r="19" spans="1:21" ht="13.5" thickTop="1" x14ac:dyDescent="0.2">
      <c r="E19" s="16" t="s">
        <v>31</v>
      </c>
      <c r="F19" s="20">
        <f ca="1">+$C$15+$C$16*F18-15018.5-$C$5/24</f>
        <v>45296.811663389039</v>
      </c>
    </row>
    <row r="20" spans="1:21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58</v>
      </c>
      <c r="I20" s="7" t="s">
        <v>61</v>
      </c>
      <c r="J20" s="7" t="s">
        <v>55</v>
      </c>
      <c r="K20" s="7" t="s">
        <v>53</v>
      </c>
      <c r="L20" s="7" t="s">
        <v>23</v>
      </c>
      <c r="M20" s="7" t="s">
        <v>24</v>
      </c>
      <c r="N20" s="7" t="s">
        <v>25</v>
      </c>
      <c r="O20" s="7" t="s">
        <v>21</v>
      </c>
      <c r="P20" s="6" t="s">
        <v>20</v>
      </c>
      <c r="Q20" s="4" t="s">
        <v>13</v>
      </c>
      <c r="R20" s="4"/>
      <c r="S20" s="4"/>
      <c r="T20" s="4"/>
      <c r="U20" s="36" t="s">
        <v>46</v>
      </c>
    </row>
    <row r="21" spans="1:21" x14ac:dyDescent="0.2">
      <c r="A21" s="32" t="s">
        <v>42</v>
      </c>
      <c r="B21" s="33" t="s">
        <v>40</v>
      </c>
      <c r="C21" s="32">
        <v>51470.332000000002</v>
      </c>
      <c r="D21" s="32">
        <v>5.0000000000000001E-3</v>
      </c>
      <c r="E21">
        <f t="shared" ref="E21:E54" si="0">+(C21-C$7)/C$8</f>
        <v>-2939.6287551491973</v>
      </c>
      <c r="F21">
        <f t="shared" ref="F21:F59" si="1">ROUND(2*E21,0)/2</f>
        <v>-2939.5</v>
      </c>
      <c r="O21">
        <f t="shared" ref="O21:O54" ca="1" si="2">+C$11+C$12*$F21</f>
        <v>-1.0894936727808363E-2</v>
      </c>
      <c r="Q21" s="2">
        <f t="shared" ref="Q21:Q54" si="3">+C21-15018.5</f>
        <v>36451.832000000002</v>
      </c>
      <c r="R21" s="2"/>
      <c r="S21" s="2"/>
      <c r="T21" s="2"/>
      <c r="U21">
        <f t="shared" ref="U21:U26" si="4">+C21-(C$7+F21*C$8)</f>
        <v>-4.5108799997251481E-2</v>
      </c>
    </row>
    <row r="22" spans="1:21" x14ac:dyDescent="0.2">
      <c r="A22" s="32" t="s">
        <v>42</v>
      </c>
      <c r="B22" s="33" t="s">
        <v>33</v>
      </c>
      <c r="C22" s="32">
        <v>51757.462</v>
      </c>
      <c r="D22" s="32">
        <v>5.0000000000000001E-3</v>
      </c>
      <c r="E22">
        <f t="shared" si="0"/>
        <v>-2120.0665856799724</v>
      </c>
      <c r="F22">
        <f t="shared" si="1"/>
        <v>-2120</v>
      </c>
      <c r="O22">
        <f t="shared" ca="1" si="2"/>
        <v>-8.4621078232224468E-3</v>
      </c>
      <c r="Q22" s="2">
        <f t="shared" si="3"/>
        <v>36738.962</v>
      </c>
      <c r="R22" s="2"/>
      <c r="S22" s="2"/>
      <c r="T22" s="2"/>
      <c r="U22">
        <f t="shared" si="4"/>
        <v>-2.3328000002948102E-2</v>
      </c>
    </row>
    <row r="23" spans="1:21" x14ac:dyDescent="0.2">
      <c r="A23" s="32" t="s">
        <v>42</v>
      </c>
      <c r="B23" s="33" t="s">
        <v>33</v>
      </c>
      <c r="C23" s="32">
        <v>51762.375999999997</v>
      </c>
      <c r="D23" s="32">
        <v>5.0000000000000001E-3</v>
      </c>
      <c r="E23">
        <f t="shared" si="0"/>
        <v>-2106.0404355014143</v>
      </c>
      <c r="F23">
        <f t="shared" si="1"/>
        <v>-2106</v>
      </c>
      <c r="O23">
        <f t="shared" ca="1" si="2"/>
        <v>-8.420546377628544E-3</v>
      </c>
      <c r="Q23" s="2">
        <f t="shared" si="3"/>
        <v>36743.875999999997</v>
      </c>
      <c r="R23" s="2"/>
      <c r="S23" s="2"/>
      <c r="T23" s="2"/>
      <c r="U23">
        <f t="shared" si="4"/>
        <v>-1.4166400003887247E-2</v>
      </c>
    </row>
    <row r="24" spans="1:21" x14ac:dyDescent="0.2">
      <c r="A24" s="32" t="s">
        <v>42</v>
      </c>
      <c r="B24" s="33" t="s">
        <v>33</v>
      </c>
      <c r="C24" s="32">
        <v>51769.381000000001</v>
      </c>
      <c r="D24" s="32">
        <v>5.0000000000000001E-3</v>
      </c>
      <c r="E24">
        <f t="shared" si="0"/>
        <v>-2086.0458929696838</v>
      </c>
      <c r="F24">
        <f t="shared" si="1"/>
        <v>-2086</v>
      </c>
      <c r="I24">
        <f>+U24</f>
        <v>-1.6078399996331427E-2</v>
      </c>
      <c r="O24">
        <f t="shared" ca="1" si="2"/>
        <v>-8.3611728839229696E-3</v>
      </c>
      <c r="Q24" s="2">
        <f t="shared" si="3"/>
        <v>36750.881000000001</v>
      </c>
      <c r="R24" s="2"/>
      <c r="S24" s="2"/>
      <c r="T24" s="2"/>
      <c r="U24">
        <f t="shared" si="4"/>
        <v>-1.6078399996331427E-2</v>
      </c>
    </row>
    <row r="25" spans="1:21" x14ac:dyDescent="0.2">
      <c r="A25" s="32" t="s">
        <v>42</v>
      </c>
      <c r="B25" s="33" t="s">
        <v>33</v>
      </c>
      <c r="C25" s="32">
        <v>51779.536</v>
      </c>
      <c r="D25" s="32">
        <v>5.0000000000000001E-3</v>
      </c>
      <c r="E25">
        <f t="shared" si="0"/>
        <v>-2057.0602285286323</v>
      </c>
      <c r="F25">
        <f t="shared" si="1"/>
        <v>-2057</v>
      </c>
      <c r="I25">
        <f>+U25</f>
        <v>-2.1100800004205666E-2</v>
      </c>
      <c r="O25">
        <f t="shared" ca="1" si="2"/>
        <v>-8.2750813180498869E-3</v>
      </c>
      <c r="Q25" s="2">
        <f t="shared" si="3"/>
        <v>36761.036</v>
      </c>
      <c r="R25" s="2"/>
      <c r="S25" s="2"/>
      <c r="T25" s="2"/>
      <c r="U25">
        <f t="shared" si="4"/>
        <v>-2.1100800004205666E-2</v>
      </c>
    </row>
    <row r="26" spans="1:21" x14ac:dyDescent="0.2">
      <c r="A26" s="32" t="s">
        <v>42</v>
      </c>
      <c r="B26" s="33" t="s">
        <v>33</v>
      </c>
      <c r="C26" s="32">
        <v>51798.453000000001</v>
      </c>
      <c r="D26" s="32">
        <v>5.0000000000000001E-3</v>
      </c>
      <c r="E26">
        <f t="shared" si="0"/>
        <v>-2003.0649735575371</v>
      </c>
      <c r="F26">
        <f t="shared" si="1"/>
        <v>-2003</v>
      </c>
      <c r="I26">
        <f>+U26</f>
        <v>-2.2763200002373196E-2</v>
      </c>
      <c r="O26">
        <f t="shared" ca="1" si="2"/>
        <v>-8.1147728850448353E-3</v>
      </c>
      <c r="Q26" s="2">
        <f t="shared" si="3"/>
        <v>36779.953000000001</v>
      </c>
      <c r="R26" s="2"/>
      <c r="S26" s="2"/>
      <c r="T26" s="2"/>
      <c r="U26">
        <f t="shared" si="4"/>
        <v>-2.2763200002373196E-2</v>
      </c>
    </row>
    <row r="27" spans="1:21" x14ac:dyDescent="0.2">
      <c r="A27" s="32" t="s">
        <v>42</v>
      </c>
      <c r="B27" s="33" t="s">
        <v>33</v>
      </c>
      <c r="C27" s="32">
        <v>51901.469100000002</v>
      </c>
      <c r="D27" s="32">
        <v>5.9999999999999995E-4</v>
      </c>
      <c r="E27">
        <f t="shared" si="0"/>
        <v>-1709.023604121184</v>
      </c>
      <c r="F27">
        <f t="shared" si="1"/>
        <v>-1709</v>
      </c>
      <c r="G27">
        <f>+C27-(C$7+F27*C$8)</f>
        <v>-8.2695999954012223E-3</v>
      </c>
      <c r="K27">
        <f>+G27</f>
        <v>-8.2695999954012223E-3</v>
      </c>
      <c r="O27">
        <f t="shared" ca="1" si="2"/>
        <v>-7.2419825275728909E-3</v>
      </c>
      <c r="Q27" s="2">
        <f t="shared" si="3"/>
        <v>36882.969100000002</v>
      </c>
      <c r="R27" s="2"/>
      <c r="S27" s="2"/>
      <c r="T27" s="2"/>
    </row>
    <row r="28" spans="1:21" x14ac:dyDescent="0.2">
      <c r="A28" s="32" t="s">
        <v>42</v>
      </c>
      <c r="B28" s="33" t="s">
        <v>33</v>
      </c>
      <c r="C28" s="32">
        <v>51907.424500000001</v>
      </c>
      <c r="D28" s="32">
        <v>1.1000000000000001E-3</v>
      </c>
      <c r="E28">
        <f t="shared" si="0"/>
        <v>-1692.0249604961496</v>
      </c>
      <c r="F28">
        <f t="shared" si="1"/>
        <v>-1692</v>
      </c>
      <c r="G28">
        <f>+C28-(C$7+F28*C$8)</f>
        <v>-8.7447999976575375E-3</v>
      </c>
      <c r="K28">
        <f>+G28</f>
        <v>-8.7447999976575375E-3</v>
      </c>
      <c r="O28">
        <f t="shared" ca="1" si="2"/>
        <v>-7.1915150579231523E-3</v>
      </c>
      <c r="Q28" s="2">
        <f t="shared" si="3"/>
        <v>36888.924500000001</v>
      </c>
      <c r="R28" s="2"/>
      <c r="S28" s="2"/>
      <c r="T28" s="2"/>
    </row>
    <row r="29" spans="1:21" x14ac:dyDescent="0.2">
      <c r="A29" s="32" t="s">
        <v>42</v>
      </c>
      <c r="B29" s="33" t="s">
        <v>33</v>
      </c>
      <c r="C29" s="32">
        <v>51922.490400000002</v>
      </c>
      <c r="D29" s="32">
        <v>8.9999999999999998E-4</v>
      </c>
      <c r="E29">
        <f t="shared" si="0"/>
        <v>-1649.0219942822127</v>
      </c>
      <c r="F29">
        <f t="shared" si="1"/>
        <v>-1649</v>
      </c>
      <c r="G29">
        <f>+C29-(C$7+F29*C$8)</f>
        <v>-7.7056000009179115E-3</v>
      </c>
      <c r="K29">
        <f>+G29</f>
        <v>-7.7056000009179115E-3</v>
      </c>
      <c r="O29">
        <f t="shared" ca="1" si="2"/>
        <v>-7.0638620464561668E-3</v>
      </c>
      <c r="Q29" s="2">
        <f t="shared" si="3"/>
        <v>36903.990400000002</v>
      </c>
      <c r="R29" s="2"/>
      <c r="S29" s="2"/>
      <c r="T29" s="2"/>
    </row>
    <row r="30" spans="1:21" x14ac:dyDescent="0.2">
      <c r="A30" s="32" t="s">
        <v>42</v>
      </c>
      <c r="B30" s="33" t="s">
        <v>40</v>
      </c>
      <c r="C30" s="32">
        <v>52136.396999999997</v>
      </c>
      <c r="D30" s="32">
        <v>5.0000000000000001E-3</v>
      </c>
      <c r="E30">
        <f t="shared" si="0"/>
        <v>-1038.4631632308315</v>
      </c>
      <c r="F30">
        <f t="shared" si="1"/>
        <v>-1038.5</v>
      </c>
      <c r="I30">
        <f>+U30</f>
        <v>1.2905599993246142E-2</v>
      </c>
      <c r="O30">
        <f t="shared" ca="1" si="2"/>
        <v>-5.2514861510935045E-3</v>
      </c>
      <c r="Q30" s="2">
        <f t="shared" si="3"/>
        <v>37117.896999999997</v>
      </c>
      <c r="R30" s="2"/>
      <c r="S30" s="2"/>
      <c r="T30" s="2"/>
      <c r="U30">
        <f>+C30-(C$7+F30*C$8)</f>
        <v>1.2905599993246142E-2</v>
      </c>
    </row>
    <row r="31" spans="1:21" x14ac:dyDescent="0.2">
      <c r="A31" s="32" t="s">
        <v>42</v>
      </c>
      <c r="B31" s="33" t="s">
        <v>40</v>
      </c>
      <c r="C31" s="32">
        <v>52145.5</v>
      </c>
      <c r="D31" s="32">
        <v>5.0000000000000001E-3</v>
      </c>
      <c r="E31">
        <f t="shared" si="0"/>
        <v>-1012.4802480750458</v>
      </c>
      <c r="F31">
        <f t="shared" si="1"/>
        <v>-1012.5</v>
      </c>
      <c r="I31">
        <f>+U31</f>
        <v>6.9199999998090789E-3</v>
      </c>
      <c r="O31">
        <f t="shared" ca="1" si="2"/>
        <v>-5.1743006092762577E-3</v>
      </c>
      <c r="Q31" s="2">
        <f t="shared" si="3"/>
        <v>37127</v>
      </c>
      <c r="R31" s="2"/>
      <c r="S31" s="2"/>
      <c r="T31" s="2"/>
      <c r="U31">
        <f>+C31-(C$7+F31*C$8)</f>
        <v>6.9199999998090789E-3</v>
      </c>
    </row>
    <row r="32" spans="1:21" x14ac:dyDescent="0.2">
      <c r="A32" s="32" t="s">
        <v>42</v>
      </c>
      <c r="B32" s="33" t="s">
        <v>33</v>
      </c>
      <c r="C32" s="32">
        <v>52146.379000000001</v>
      </c>
      <c r="D32" s="32">
        <v>5.0000000000000001E-3</v>
      </c>
      <c r="E32">
        <f t="shared" si="0"/>
        <v>-1009.971296913676</v>
      </c>
      <c r="F32">
        <f t="shared" si="1"/>
        <v>-1010</v>
      </c>
      <c r="I32">
        <f>+U32</f>
        <v>1.0055999999167398E-2</v>
      </c>
      <c r="O32">
        <f t="shared" ca="1" si="2"/>
        <v>-5.1668789225630604E-3</v>
      </c>
      <c r="Q32" s="2">
        <f t="shared" si="3"/>
        <v>37127.879000000001</v>
      </c>
      <c r="R32" s="2"/>
      <c r="S32" s="2"/>
      <c r="T32" s="2"/>
      <c r="U32">
        <f>+C32-(C$7+F32*C$8)</f>
        <v>1.0055999999167398E-2</v>
      </c>
    </row>
    <row r="33" spans="1:21" x14ac:dyDescent="0.2">
      <c r="A33" s="32" t="s">
        <v>42</v>
      </c>
      <c r="B33" s="33" t="s">
        <v>33</v>
      </c>
      <c r="C33" s="32">
        <v>52167.400999999998</v>
      </c>
      <c r="D33" s="32">
        <v>5.0000000000000001E-3</v>
      </c>
      <c r="E33">
        <f t="shared" si="0"/>
        <v>-949.96768904762257</v>
      </c>
      <c r="F33">
        <f t="shared" si="1"/>
        <v>-950</v>
      </c>
      <c r="O33">
        <f t="shared" ca="1" si="2"/>
        <v>-4.9887584414463372E-3</v>
      </c>
      <c r="Q33" s="2">
        <f t="shared" si="3"/>
        <v>37148.900999999998</v>
      </c>
      <c r="R33" s="2"/>
      <c r="S33" s="2"/>
      <c r="T33" s="2"/>
      <c r="U33">
        <f>+C33-(C$7+F33*C$8)</f>
        <v>1.1319999997795094E-2</v>
      </c>
    </row>
    <row r="34" spans="1:21" x14ac:dyDescent="0.2">
      <c r="A34" s="30" t="s">
        <v>34</v>
      </c>
      <c r="B34" s="29" t="s">
        <v>33</v>
      </c>
      <c r="C34" s="30">
        <v>52500.218000000001</v>
      </c>
      <c r="D34" s="34"/>
      <c r="E34">
        <f t="shared" si="0"/>
        <v>0</v>
      </c>
      <c r="F34">
        <f t="shared" si="1"/>
        <v>0</v>
      </c>
      <c r="G34">
        <f>+C34-(C$7+F34*C$8)</f>
        <v>0</v>
      </c>
      <c r="H34">
        <f>+G34</f>
        <v>0</v>
      </c>
      <c r="O34">
        <f t="shared" ca="1" si="2"/>
        <v>-2.1685174904315478E-3</v>
      </c>
      <c r="Q34" s="2">
        <f t="shared" si="3"/>
        <v>37481.718000000001</v>
      </c>
      <c r="R34" s="2"/>
      <c r="S34" s="2"/>
      <c r="T34" s="2"/>
    </row>
    <row r="35" spans="1:21" x14ac:dyDescent="0.2">
      <c r="A35" s="32" t="s">
        <v>41</v>
      </c>
      <c r="B35" s="33" t="s">
        <v>33</v>
      </c>
      <c r="C35" s="32">
        <v>53464.572</v>
      </c>
      <c r="D35" s="32">
        <v>3.0000000000000001E-3</v>
      </c>
      <c r="E35">
        <f t="shared" si="0"/>
        <v>2752.579167541991</v>
      </c>
      <c r="F35">
        <f t="shared" si="1"/>
        <v>2752.5</v>
      </c>
      <c r="O35">
        <f t="shared" ca="1" si="2"/>
        <v>6.0027595807981456E-3</v>
      </c>
      <c r="Q35" s="2">
        <f t="shared" si="3"/>
        <v>38446.072</v>
      </c>
      <c r="R35" s="2"/>
      <c r="S35" s="2"/>
      <c r="T35" s="2"/>
      <c r="U35">
        <f>+C35-(C$7+F35*C$8)</f>
        <v>2.7735999996366445E-2</v>
      </c>
    </row>
    <row r="36" spans="1:21" x14ac:dyDescent="0.2">
      <c r="A36" s="30" t="s">
        <v>38</v>
      </c>
      <c r="B36" s="31"/>
      <c r="C36" s="30">
        <v>54187.494700000003</v>
      </c>
      <c r="D36" s="30">
        <v>8.0000000000000004E-4</v>
      </c>
      <c r="E36">
        <f t="shared" si="0"/>
        <v>4816.0350807888044</v>
      </c>
      <c r="F36">
        <f t="shared" si="1"/>
        <v>4816</v>
      </c>
      <c r="G36">
        <f>+C36-(C$7+F36*C$8)</f>
        <v>1.2290400001802482E-2</v>
      </c>
      <c r="J36">
        <f>+G36</f>
        <v>1.2290400001802482E-2</v>
      </c>
      <c r="O36">
        <f t="shared" ca="1" si="2"/>
        <v>1.2128619793870796E-2</v>
      </c>
      <c r="Q36" s="2">
        <f t="shared" si="3"/>
        <v>39168.994700000003</v>
      </c>
      <c r="R36" s="2"/>
      <c r="S36" s="2"/>
      <c r="T36" s="2"/>
    </row>
    <row r="37" spans="1:21" x14ac:dyDescent="0.2">
      <c r="A37" s="35" t="s">
        <v>39</v>
      </c>
      <c r="B37" s="29" t="s">
        <v>33</v>
      </c>
      <c r="C37" s="30">
        <v>54942.361340000003</v>
      </c>
      <c r="D37" s="30">
        <v>2.9999999999999997E-4</v>
      </c>
      <c r="E37">
        <f t="shared" si="0"/>
        <v>6970.6693619100752</v>
      </c>
      <c r="F37">
        <f t="shared" si="1"/>
        <v>6970.5</v>
      </c>
      <c r="O37">
        <f t="shared" ca="1" si="2"/>
        <v>1.8524629403303811E-2</v>
      </c>
      <c r="Q37" s="2">
        <f t="shared" si="3"/>
        <v>39923.861340000003</v>
      </c>
      <c r="R37" s="2"/>
      <c r="S37" s="2"/>
      <c r="T37" s="2"/>
      <c r="U37" s="25">
        <v>5.9335199999623001E-2</v>
      </c>
    </row>
    <row r="38" spans="1:21" x14ac:dyDescent="0.2">
      <c r="A38" s="32" t="s">
        <v>43</v>
      </c>
      <c r="B38" s="33" t="s">
        <v>33</v>
      </c>
      <c r="C38" s="32">
        <v>54942.496899999998</v>
      </c>
      <c r="D38" s="32">
        <v>2.0000000000000001E-4</v>
      </c>
      <c r="E38" s="38">
        <f t="shared" si="0"/>
        <v>6971.0562941278486</v>
      </c>
      <c r="F38">
        <f t="shared" si="1"/>
        <v>6971</v>
      </c>
      <c r="G38">
        <f t="shared" ref="G38:G54" si="5">+C38-(C$7+F38*C$8)</f>
        <v>1.9722400000318885E-2</v>
      </c>
      <c r="J38">
        <f>+G38</f>
        <v>1.9722400000318885E-2</v>
      </c>
      <c r="O38">
        <f t="shared" ca="1" si="2"/>
        <v>1.8526113740646451E-2</v>
      </c>
      <c r="Q38" s="2">
        <f t="shared" si="3"/>
        <v>39923.996899999998</v>
      </c>
      <c r="R38" s="2"/>
      <c r="S38" s="2"/>
      <c r="T38" s="2"/>
    </row>
    <row r="39" spans="1:21" x14ac:dyDescent="0.2">
      <c r="A39" s="35" t="s">
        <v>39</v>
      </c>
      <c r="B39" s="29" t="s">
        <v>40</v>
      </c>
      <c r="C39" s="30">
        <v>54946.352339999998</v>
      </c>
      <c r="D39" s="30">
        <v>4.0000000000000002E-4</v>
      </c>
      <c r="E39" s="38">
        <f t="shared" si="0"/>
        <v>6982.0609706529694</v>
      </c>
      <c r="F39">
        <f t="shared" si="1"/>
        <v>6982</v>
      </c>
      <c r="G39">
        <f t="shared" si="5"/>
        <v>2.1360799997637514E-2</v>
      </c>
      <c r="K39">
        <f>+G39</f>
        <v>2.1360799997637514E-2</v>
      </c>
      <c r="O39">
        <f t="shared" ca="1" si="2"/>
        <v>1.8558769162184515E-2</v>
      </c>
      <c r="Q39" s="2">
        <f t="shared" si="3"/>
        <v>39927.852339999998</v>
      </c>
      <c r="R39" s="2"/>
      <c r="S39" s="2"/>
      <c r="T39" s="2"/>
    </row>
    <row r="40" spans="1:21" x14ac:dyDescent="0.2">
      <c r="A40" s="55" t="s">
        <v>86</v>
      </c>
      <c r="B40" s="57" t="s">
        <v>40</v>
      </c>
      <c r="C40" s="56">
        <v>55028.506600000001</v>
      </c>
      <c r="D40" s="56" t="s">
        <v>61</v>
      </c>
      <c r="E40">
        <f t="shared" si="0"/>
        <v>7216.5558808216801</v>
      </c>
      <c r="F40">
        <f t="shared" si="1"/>
        <v>7216.5</v>
      </c>
      <c r="G40">
        <f t="shared" si="5"/>
        <v>1.9577599996409845E-2</v>
      </c>
      <c r="H40">
        <f>+G40</f>
        <v>1.9577599996409845E-2</v>
      </c>
      <c r="O40">
        <f t="shared" ca="1" si="2"/>
        <v>1.9254923375882377E-2</v>
      </c>
      <c r="Q40" s="2">
        <f t="shared" si="3"/>
        <v>40010.006600000001</v>
      </c>
      <c r="R40" s="2"/>
      <c r="S40" s="2"/>
      <c r="T40" s="2"/>
    </row>
    <row r="41" spans="1:21" x14ac:dyDescent="0.2">
      <c r="A41" s="32" t="s">
        <v>44</v>
      </c>
      <c r="B41" s="33" t="s">
        <v>33</v>
      </c>
      <c r="C41" s="32">
        <v>55674.375699999997</v>
      </c>
      <c r="D41" s="32">
        <v>1.1000000000000001E-3</v>
      </c>
      <c r="E41" s="38">
        <f t="shared" si="0"/>
        <v>9060.0758222737677</v>
      </c>
      <c r="F41">
        <f t="shared" si="1"/>
        <v>9060</v>
      </c>
      <c r="G41">
        <f t="shared" si="5"/>
        <v>2.656399999250425E-2</v>
      </c>
      <c r="J41">
        <f>+G41</f>
        <v>2.656399999250425E-2</v>
      </c>
      <c r="O41">
        <f t="shared" ca="1" si="2"/>
        <v>2.4727675158193709E-2</v>
      </c>
      <c r="Q41" s="2">
        <f t="shared" si="3"/>
        <v>40655.875699999997</v>
      </c>
      <c r="R41" s="2"/>
      <c r="S41" s="2"/>
      <c r="T41" s="2"/>
    </row>
    <row r="42" spans="1:21" x14ac:dyDescent="0.2">
      <c r="A42" s="39" t="s">
        <v>49</v>
      </c>
      <c r="B42" s="31" t="s">
        <v>33</v>
      </c>
      <c r="C42" s="30">
        <v>56397.492200000001</v>
      </c>
      <c r="D42" s="40">
        <v>2.0000000000000001E-4</v>
      </c>
      <c r="E42" s="38">
        <f t="shared" si="0"/>
        <v>11124.084903592338</v>
      </c>
      <c r="F42">
        <f t="shared" si="1"/>
        <v>11124</v>
      </c>
      <c r="G42">
        <f t="shared" si="5"/>
        <v>2.9745599997113459E-2</v>
      </c>
      <c r="J42">
        <f>+G42</f>
        <v>2.9745599997113459E-2</v>
      </c>
      <c r="O42">
        <f t="shared" ca="1" si="2"/>
        <v>3.0855019708608999E-2</v>
      </c>
      <c r="Q42" s="2">
        <f t="shared" si="3"/>
        <v>41378.992200000001</v>
      </c>
      <c r="R42" s="2"/>
      <c r="S42" s="2"/>
      <c r="T42" s="2"/>
    </row>
    <row r="43" spans="1:21" x14ac:dyDescent="0.2">
      <c r="A43" s="37" t="s">
        <v>50</v>
      </c>
      <c r="B43" s="41"/>
      <c r="C43" s="37">
        <v>56478.422729999998</v>
      </c>
      <c r="D43" s="37">
        <v>1.8000000000000001E-4</v>
      </c>
      <c r="E43">
        <f t="shared" si="0"/>
        <v>11355.086891343855</v>
      </c>
      <c r="F43">
        <f t="shared" si="1"/>
        <v>11355</v>
      </c>
      <c r="G43">
        <f t="shared" si="5"/>
        <v>3.0441999995673541E-2</v>
      </c>
      <c r="K43">
        <f t="shared" ref="K43:K54" si="6">+G43</f>
        <v>3.0441999995673541E-2</v>
      </c>
      <c r="O43">
        <f t="shared" ca="1" si="2"/>
        <v>3.1540783560908392E-2</v>
      </c>
      <c r="Q43" s="2">
        <f t="shared" si="3"/>
        <v>41459.922729999998</v>
      </c>
      <c r="R43" s="2"/>
      <c r="S43" s="2"/>
      <c r="T43" s="2"/>
    </row>
    <row r="44" spans="1:21" x14ac:dyDescent="0.2">
      <c r="A44" s="37" t="s">
        <v>50</v>
      </c>
      <c r="B44" s="41"/>
      <c r="C44" s="37">
        <v>56478.423349999997</v>
      </c>
      <c r="D44" s="37">
        <v>3.6000000000000002E-4</v>
      </c>
      <c r="E44">
        <f t="shared" si="0"/>
        <v>11355.088661024991</v>
      </c>
      <c r="F44">
        <f t="shared" si="1"/>
        <v>11355</v>
      </c>
      <c r="G44">
        <f t="shared" si="5"/>
        <v>3.1061999994562939E-2</v>
      </c>
      <c r="K44">
        <f t="shared" si="6"/>
        <v>3.1061999994562939E-2</v>
      </c>
      <c r="O44">
        <f t="shared" ca="1" si="2"/>
        <v>3.1540783560908392E-2</v>
      </c>
      <c r="Q44" s="2">
        <f t="shared" si="3"/>
        <v>41459.923349999997</v>
      </c>
      <c r="R44" s="2"/>
      <c r="S44" s="2"/>
      <c r="T44" s="2"/>
    </row>
    <row r="45" spans="1:21" x14ac:dyDescent="0.2">
      <c r="A45" s="35" t="s">
        <v>45</v>
      </c>
      <c r="B45" s="29" t="s">
        <v>33</v>
      </c>
      <c r="C45" s="30">
        <v>56478.423410000003</v>
      </c>
      <c r="D45" s="30">
        <v>2.9999999999999997E-4</v>
      </c>
      <c r="E45" s="38">
        <f t="shared" si="0"/>
        <v>11355.088832284471</v>
      </c>
      <c r="F45">
        <f t="shared" si="1"/>
        <v>11355</v>
      </c>
      <c r="G45">
        <f t="shared" si="5"/>
        <v>3.1122000000323169E-2</v>
      </c>
      <c r="K45">
        <f t="shared" si="6"/>
        <v>3.1122000000323169E-2</v>
      </c>
      <c r="O45">
        <f t="shared" ca="1" si="2"/>
        <v>3.1540783560908392E-2</v>
      </c>
      <c r="Q45" s="2">
        <f t="shared" si="3"/>
        <v>41459.923410000003</v>
      </c>
      <c r="R45" s="2"/>
      <c r="S45" s="2"/>
      <c r="T45" s="2"/>
    </row>
    <row r="46" spans="1:21" x14ac:dyDescent="0.2">
      <c r="A46" s="35" t="s">
        <v>45</v>
      </c>
      <c r="B46" s="29" t="s">
        <v>33</v>
      </c>
      <c r="C46" s="30">
        <v>56478.42452</v>
      </c>
      <c r="D46" s="30">
        <v>2.0000000000000001E-4</v>
      </c>
      <c r="E46">
        <f t="shared" si="0"/>
        <v>11355.092000584566</v>
      </c>
      <c r="F46">
        <f t="shared" si="1"/>
        <v>11355</v>
      </c>
      <c r="G46">
        <f t="shared" si="5"/>
        <v>3.2231999997748062E-2</v>
      </c>
      <c r="K46">
        <f t="shared" si="6"/>
        <v>3.2231999997748062E-2</v>
      </c>
      <c r="O46">
        <f t="shared" ca="1" si="2"/>
        <v>3.1540783560908392E-2</v>
      </c>
      <c r="Q46" s="2">
        <f t="shared" si="3"/>
        <v>41459.92452</v>
      </c>
      <c r="R46" s="2"/>
      <c r="S46" s="2"/>
      <c r="T46" s="2"/>
    </row>
    <row r="47" spans="1:21" x14ac:dyDescent="0.2">
      <c r="A47" s="35" t="s">
        <v>45</v>
      </c>
      <c r="B47" s="29" t="s">
        <v>33</v>
      </c>
      <c r="C47" s="30">
        <v>56478.425139999999</v>
      </c>
      <c r="D47" s="30">
        <v>4.0000000000000002E-4</v>
      </c>
      <c r="E47">
        <f t="shared" si="0"/>
        <v>11355.093770265699</v>
      </c>
      <c r="F47">
        <f t="shared" si="1"/>
        <v>11355</v>
      </c>
      <c r="G47">
        <f t="shared" si="5"/>
        <v>3.285199999663746E-2</v>
      </c>
      <c r="K47">
        <f t="shared" si="6"/>
        <v>3.285199999663746E-2</v>
      </c>
      <c r="O47">
        <f t="shared" ca="1" si="2"/>
        <v>3.1540783560908392E-2</v>
      </c>
      <c r="Q47" s="2">
        <f t="shared" si="3"/>
        <v>41459.925139999999</v>
      </c>
      <c r="R47" s="2"/>
      <c r="S47" s="2"/>
      <c r="T47" s="2"/>
    </row>
    <row r="48" spans="1:21" x14ac:dyDescent="0.2">
      <c r="A48" s="58" t="s">
        <v>111</v>
      </c>
      <c r="B48" s="59" t="s">
        <v>40</v>
      </c>
      <c r="C48" s="60">
        <v>57470.432480000003</v>
      </c>
      <c r="D48" s="60">
        <v>2.0000000000000001E-4</v>
      </c>
      <c r="E48">
        <f t="shared" si="0"/>
        <v>14186.604541344326</v>
      </c>
      <c r="F48">
        <f t="shared" si="1"/>
        <v>14186.5</v>
      </c>
      <c r="G48">
        <f t="shared" si="5"/>
        <v>3.662560000520898E-2</v>
      </c>
      <c r="K48">
        <f t="shared" si="6"/>
        <v>3.662560000520898E-2</v>
      </c>
      <c r="O48">
        <f t="shared" ca="1" si="2"/>
        <v>3.9946585932275097E-2</v>
      </c>
      <c r="Q48" s="2">
        <f t="shared" si="3"/>
        <v>42451.932480000003</v>
      </c>
      <c r="R48" s="2"/>
      <c r="S48" s="2"/>
      <c r="T48" s="2"/>
    </row>
    <row r="49" spans="1:17" x14ac:dyDescent="0.2">
      <c r="A49" s="58" t="s">
        <v>111</v>
      </c>
      <c r="B49" s="59" t="s">
        <v>40</v>
      </c>
      <c r="C49" s="60">
        <v>57470.43288</v>
      </c>
      <c r="D49" s="60">
        <v>2.0000000000000001E-4</v>
      </c>
      <c r="E49">
        <f t="shared" si="0"/>
        <v>14186.605683074084</v>
      </c>
      <c r="F49">
        <f t="shared" si="1"/>
        <v>14186.5</v>
      </c>
      <c r="G49">
        <f t="shared" si="5"/>
        <v>3.7025600002380088E-2</v>
      </c>
      <c r="K49">
        <f t="shared" si="6"/>
        <v>3.7025600002380088E-2</v>
      </c>
      <c r="O49">
        <f t="shared" ca="1" si="2"/>
        <v>3.9946585932275097E-2</v>
      </c>
      <c r="Q49" s="2">
        <f t="shared" si="3"/>
        <v>42451.93288</v>
      </c>
    </row>
    <row r="50" spans="1:17" x14ac:dyDescent="0.2">
      <c r="A50" s="58" t="s">
        <v>111</v>
      </c>
      <c r="B50" s="59" t="s">
        <v>40</v>
      </c>
      <c r="C50" s="60">
        <v>57470.432889999996</v>
      </c>
      <c r="D50" s="60">
        <v>2.9999999999999997E-4</v>
      </c>
      <c r="E50">
        <f t="shared" si="0"/>
        <v>14186.605711617318</v>
      </c>
      <c r="F50">
        <f t="shared" si="1"/>
        <v>14186.5</v>
      </c>
      <c r="G50">
        <f t="shared" si="5"/>
        <v>3.7035599998489488E-2</v>
      </c>
      <c r="K50">
        <f t="shared" si="6"/>
        <v>3.7035599998489488E-2</v>
      </c>
      <c r="O50">
        <f t="shared" ca="1" si="2"/>
        <v>3.9946585932275097E-2</v>
      </c>
      <c r="Q50" s="2">
        <f t="shared" si="3"/>
        <v>42451.932889999996</v>
      </c>
    </row>
    <row r="51" spans="1:17" x14ac:dyDescent="0.2">
      <c r="A51" s="58" t="s">
        <v>111</v>
      </c>
      <c r="B51" s="59" t="s">
        <v>33</v>
      </c>
      <c r="C51" s="60">
        <v>57470.608899999999</v>
      </c>
      <c r="D51" s="60">
        <v>5.0000000000000001E-4</v>
      </c>
      <c r="E51">
        <f t="shared" si="0"/>
        <v>14187.108101257727</v>
      </c>
      <c r="F51">
        <f t="shared" si="1"/>
        <v>14187</v>
      </c>
      <c r="G51">
        <f t="shared" si="5"/>
        <v>3.7872799999604467E-2</v>
      </c>
      <c r="K51">
        <f t="shared" si="6"/>
        <v>3.7872799999604467E-2</v>
      </c>
      <c r="O51">
        <f t="shared" ca="1" si="2"/>
        <v>3.9948070269617733E-2</v>
      </c>
      <c r="Q51" s="2">
        <f t="shared" si="3"/>
        <v>42452.108899999999</v>
      </c>
    </row>
    <row r="52" spans="1:17" x14ac:dyDescent="0.2">
      <c r="A52" s="58" t="s">
        <v>111</v>
      </c>
      <c r="B52" s="59" t="s">
        <v>33</v>
      </c>
      <c r="C52" s="60">
        <v>57470.609219999998</v>
      </c>
      <c r="D52" s="60">
        <v>6.9999999999999999E-4</v>
      </c>
      <c r="E52">
        <f t="shared" si="0"/>
        <v>14187.109014641537</v>
      </c>
      <c r="F52">
        <f t="shared" si="1"/>
        <v>14187</v>
      </c>
      <c r="G52">
        <f t="shared" si="5"/>
        <v>3.8192799998796545E-2</v>
      </c>
      <c r="K52">
        <f t="shared" si="6"/>
        <v>3.8192799998796545E-2</v>
      </c>
      <c r="O52">
        <f t="shared" ca="1" si="2"/>
        <v>3.9948070269617733E-2</v>
      </c>
      <c r="Q52" s="2">
        <f t="shared" si="3"/>
        <v>42452.109219999998</v>
      </c>
    </row>
    <row r="53" spans="1:17" x14ac:dyDescent="0.2">
      <c r="A53" s="58" t="s">
        <v>111</v>
      </c>
      <c r="B53" s="59" t="s">
        <v>33</v>
      </c>
      <c r="C53" s="60">
        <v>57470.60944</v>
      </c>
      <c r="D53" s="60">
        <v>4.0000000000000002E-4</v>
      </c>
      <c r="E53">
        <f t="shared" si="0"/>
        <v>14187.109642592914</v>
      </c>
      <c r="F53">
        <f t="shared" si="1"/>
        <v>14187</v>
      </c>
      <c r="G53">
        <f t="shared" si="5"/>
        <v>3.8412800000514835E-2</v>
      </c>
      <c r="K53">
        <f t="shared" si="6"/>
        <v>3.8412800000514835E-2</v>
      </c>
      <c r="O53">
        <f t="shared" ca="1" si="2"/>
        <v>3.9948070269617733E-2</v>
      </c>
      <c r="Q53" s="2">
        <f t="shared" si="3"/>
        <v>42452.10944</v>
      </c>
    </row>
    <row r="54" spans="1:17" x14ac:dyDescent="0.2">
      <c r="A54" s="58" t="s">
        <v>111</v>
      </c>
      <c r="B54" s="59" t="s">
        <v>40</v>
      </c>
      <c r="C54" s="60">
        <v>57500.564310000002</v>
      </c>
      <c r="D54" s="60">
        <v>1E-4</v>
      </c>
      <c r="E54">
        <f t="shared" si="0"/>
        <v>14272.610559401919</v>
      </c>
      <c r="F54">
        <f t="shared" si="1"/>
        <v>14272.5</v>
      </c>
      <c r="G54">
        <f t="shared" si="5"/>
        <v>3.8734000001568347E-2</v>
      </c>
      <c r="K54">
        <f t="shared" si="6"/>
        <v>3.8734000001568347E-2</v>
      </c>
      <c r="O54">
        <f t="shared" ca="1" si="2"/>
        <v>4.0201891955209068E-2</v>
      </c>
      <c r="Q54" s="2">
        <f t="shared" si="3"/>
        <v>42482.064310000002</v>
      </c>
    </row>
    <row r="55" spans="1:17" x14ac:dyDescent="0.2">
      <c r="A55" s="61" t="s">
        <v>112</v>
      </c>
      <c r="B55" s="62" t="s">
        <v>33</v>
      </c>
      <c r="C55" s="63">
        <v>57884.371590000112</v>
      </c>
      <c r="D55" s="63">
        <v>2.0000000000000001E-4</v>
      </c>
      <c r="E55">
        <f>+(C55-C$7)/C$8</f>
        <v>15368.121049615325</v>
      </c>
      <c r="F55">
        <f t="shared" si="1"/>
        <v>15368</v>
      </c>
      <c r="G55">
        <f>+C55-(C$7+F55*C$8)</f>
        <v>4.2409200112160761E-2</v>
      </c>
      <c r="K55">
        <f>+G55</f>
        <v>4.2409200112160761E-2</v>
      </c>
      <c r="O55">
        <f ca="1">+C$11+C$12*$F55</f>
        <v>4.3454075072931919E-2</v>
      </c>
      <c r="Q55" s="2">
        <f>+C55-15018.5</f>
        <v>42865.871590000112</v>
      </c>
    </row>
    <row r="56" spans="1:17" x14ac:dyDescent="0.2">
      <c r="A56" s="61" t="s">
        <v>112</v>
      </c>
      <c r="B56" s="62" t="s">
        <v>33</v>
      </c>
      <c r="C56" s="63">
        <v>57884.37191999983</v>
      </c>
      <c r="D56" s="63">
        <v>2.0000000000000001E-4</v>
      </c>
      <c r="E56">
        <f>+(C56-C$7)/C$8</f>
        <v>15368.12199154158</v>
      </c>
      <c r="F56">
        <f t="shared" si="1"/>
        <v>15368</v>
      </c>
      <c r="G56">
        <f>+C56-(C$7+F56*C$8)</f>
        <v>4.2739199830975849E-2</v>
      </c>
      <c r="K56">
        <f>+G56</f>
        <v>4.2739199830975849E-2</v>
      </c>
      <c r="O56">
        <f ca="1">+C$11+C$12*$F56</f>
        <v>4.3454075072931919E-2</v>
      </c>
      <c r="Q56" s="2">
        <f>+C56-15018.5</f>
        <v>42865.87191999983</v>
      </c>
    </row>
    <row r="57" spans="1:17" x14ac:dyDescent="0.2">
      <c r="A57" s="61" t="s">
        <v>112</v>
      </c>
      <c r="B57" s="62" t="s">
        <v>33</v>
      </c>
      <c r="C57" s="63">
        <v>57884.372030000202</v>
      </c>
      <c r="D57" s="63">
        <v>6.9999999999999999E-4</v>
      </c>
      <c r="E57">
        <f>+(C57-C$7)/C$8</f>
        <v>15368.122305518327</v>
      </c>
      <c r="F57">
        <f t="shared" si="1"/>
        <v>15368</v>
      </c>
      <c r="G57">
        <f>+C57-(C$7+F57*C$8)</f>
        <v>4.2849200202908833E-2</v>
      </c>
      <c r="K57">
        <f>+G57</f>
        <v>4.2849200202908833E-2</v>
      </c>
      <c r="O57">
        <f ca="1">+C$11+C$12*$F57</f>
        <v>4.3454075072931919E-2</v>
      </c>
      <c r="Q57" s="2">
        <f>+C57-15018.5</f>
        <v>42865.872030000202</v>
      </c>
    </row>
    <row r="58" spans="1:17" x14ac:dyDescent="0.2">
      <c r="A58" s="61" t="s">
        <v>112</v>
      </c>
      <c r="B58" s="62" t="s">
        <v>33</v>
      </c>
      <c r="C58" s="63">
        <v>57884.372229999863</v>
      </c>
      <c r="D58" s="63">
        <v>2.9999999999999997E-4</v>
      </c>
      <c r="E58">
        <f>+(C58-C$7)/C$8</f>
        <v>15368.122876382242</v>
      </c>
      <c r="F58">
        <f t="shared" si="1"/>
        <v>15368</v>
      </c>
      <c r="G58">
        <f>+C58-(C$7+F58*C$8)</f>
        <v>4.3049199863162357E-2</v>
      </c>
      <c r="K58">
        <f>+G58</f>
        <v>4.3049199863162357E-2</v>
      </c>
      <c r="O58">
        <f ca="1">+C$11+C$12*$F58</f>
        <v>4.3454075072931919E-2</v>
      </c>
      <c r="Q58" s="2">
        <f>+C58-15018.5</f>
        <v>42865.872229999863</v>
      </c>
    </row>
    <row r="59" spans="1:17" x14ac:dyDescent="0.2">
      <c r="A59" s="61" t="s">
        <v>112</v>
      </c>
      <c r="B59" s="62" t="s">
        <v>33</v>
      </c>
      <c r="C59" s="63">
        <v>57989.49179999996</v>
      </c>
      <c r="D59" s="63">
        <v>1E-4</v>
      </c>
      <c r="E59">
        <f>+(C59-C$7)/C$8</f>
        <v>15668.168231597483</v>
      </c>
      <c r="F59">
        <f t="shared" si="1"/>
        <v>15668</v>
      </c>
      <c r="G59">
        <f>+C59-(C$7+F59*C$8)</f>
        <v>5.893919996015029E-2</v>
      </c>
      <c r="K59">
        <f>+G59</f>
        <v>5.893919996015029E-2</v>
      </c>
      <c r="O59">
        <f ca="1">+C$11+C$12*$F59</f>
        <v>4.4344677478515532E-2</v>
      </c>
      <c r="Q59" s="2">
        <f>+C59-15018.5</f>
        <v>42970.99179999996</v>
      </c>
    </row>
    <row r="60" spans="1:17" x14ac:dyDescent="0.2">
      <c r="C60" s="10"/>
      <c r="D60" s="10"/>
    </row>
    <row r="61" spans="1:17" x14ac:dyDescent="0.2">
      <c r="C61" s="10"/>
      <c r="D61" s="10"/>
    </row>
    <row r="62" spans="1:17" x14ac:dyDescent="0.2">
      <c r="C62" s="10"/>
      <c r="D62" s="10"/>
    </row>
    <row r="63" spans="1:17" x14ac:dyDescent="0.2">
      <c r="C63" s="10"/>
      <c r="D63" s="10"/>
    </row>
    <row r="64" spans="1:17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</sheetData>
  <protectedRanges>
    <protectedRange sqref="A55:D59" name="Range1"/>
  </protectedRanges>
  <phoneticPr fontId="8" type="noConversion"/>
  <hyperlinks>
    <hyperlink ref="H670" r:id="rId1" display="http://vsolj.cetus-net.org/bulletin.html"/>
  </hyperlinks>
  <pageMargins left="0.75" right="0.75" top="1" bottom="1" header="0.5" footer="0.5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65"/>
  <sheetViews>
    <sheetView workbookViewId="0">
      <selection activeCell="A18" sqref="A18:D19"/>
    </sheetView>
  </sheetViews>
  <sheetFormatPr defaultRowHeight="12.75" x14ac:dyDescent="0.2"/>
  <cols>
    <col min="1" max="1" width="19.7109375" style="10" customWidth="1"/>
    <col min="2" max="2" width="4.42578125" style="12" customWidth="1"/>
    <col min="3" max="3" width="12.7109375" style="10" customWidth="1"/>
    <col min="4" max="4" width="5.42578125" style="12" customWidth="1"/>
    <col min="5" max="5" width="14.85546875" style="12" customWidth="1"/>
    <col min="6" max="6" width="9.140625" style="12"/>
    <col min="7" max="7" width="12" style="12" customWidth="1"/>
    <col min="8" max="8" width="14.140625" style="10" customWidth="1"/>
    <col min="9" max="9" width="22.5703125" style="12" customWidth="1"/>
    <col min="10" max="10" width="25.140625" style="12" customWidth="1"/>
    <col min="11" max="11" width="15.7109375" style="12" customWidth="1"/>
    <col min="12" max="12" width="14.140625" style="12" customWidth="1"/>
    <col min="13" max="13" width="9.5703125" style="12" customWidth="1"/>
    <col min="14" max="14" width="14.140625" style="12" customWidth="1"/>
    <col min="15" max="15" width="23.42578125" style="12" customWidth="1"/>
    <col min="16" max="16" width="16.5703125" style="12" customWidth="1"/>
    <col min="17" max="17" width="41" style="12" customWidth="1"/>
    <col min="18" max="16384" width="9.140625" style="12"/>
  </cols>
  <sheetData>
    <row r="1" spans="1:16" ht="15.75" x14ac:dyDescent="0.25">
      <c r="A1" s="42" t="s">
        <v>51</v>
      </c>
      <c r="I1" s="43" t="s">
        <v>52</v>
      </c>
      <c r="J1" s="44" t="s">
        <v>53</v>
      </c>
    </row>
    <row r="2" spans="1:16" x14ac:dyDescent="0.2">
      <c r="I2" s="45" t="s">
        <v>54</v>
      </c>
      <c r="J2" s="46" t="s">
        <v>55</v>
      </c>
    </row>
    <row r="3" spans="1:16" x14ac:dyDescent="0.2">
      <c r="A3" s="47" t="s">
        <v>56</v>
      </c>
      <c r="I3" s="45" t="s">
        <v>57</v>
      </c>
      <c r="J3" s="46" t="s">
        <v>58</v>
      </c>
    </row>
    <row r="4" spans="1:16" x14ac:dyDescent="0.2">
      <c r="I4" s="45" t="s">
        <v>59</v>
      </c>
      <c r="J4" s="46" t="s">
        <v>58</v>
      </c>
    </row>
    <row r="5" spans="1:16" ht="13.5" thickBot="1" x14ac:dyDescent="0.25">
      <c r="I5" s="48" t="s">
        <v>60</v>
      </c>
      <c r="J5" s="49" t="s">
        <v>61</v>
      </c>
    </row>
    <row r="10" spans="1:16" ht="13.5" thickBot="1" x14ac:dyDescent="0.25"/>
    <row r="11" spans="1:16" ht="12.75" customHeight="1" thickBot="1" x14ac:dyDescent="0.25">
      <c r="A11" s="10" t="str">
        <f t="shared" ref="A11:A19" si="0">P11</f>
        <v>BAVM 186 </v>
      </c>
      <c r="B11" s="3" t="str">
        <f t="shared" ref="B11:B19" si="1">IF(H11=INT(H11),"I","II")</f>
        <v>I</v>
      </c>
      <c r="C11" s="10">
        <f t="shared" ref="C11:C19" si="2">1*G11</f>
        <v>54187.494700000003</v>
      </c>
      <c r="D11" s="12" t="str">
        <f t="shared" ref="D11:D19" si="3">VLOOKUP(F11,I$1:J$5,2,FALSE)</f>
        <v>vis</v>
      </c>
      <c r="E11" s="50">
        <f>VLOOKUP(C11,Active!C$21:E$973,3,FALSE)</f>
        <v>4816.0350807888044</v>
      </c>
      <c r="F11" s="3" t="s">
        <v>60</v>
      </c>
      <c r="G11" s="12" t="str">
        <f t="shared" ref="G11:G19" si="4">MID(I11,3,LEN(I11)-3)</f>
        <v>54187.4947</v>
      </c>
      <c r="H11" s="10">
        <f t="shared" ref="H11:H19" si="5">1*K11</f>
        <v>4816</v>
      </c>
      <c r="I11" s="51" t="s">
        <v>62</v>
      </c>
      <c r="J11" s="52" t="s">
        <v>63</v>
      </c>
      <c r="K11" s="51">
        <v>4816</v>
      </c>
      <c r="L11" s="51" t="s">
        <v>64</v>
      </c>
      <c r="M11" s="52" t="s">
        <v>65</v>
      </c>
      <c r="N11" s="52" t="s">
        <v>66</v>
      </c>
      <c r="O11" s="53" t="s">
        <v>67</v>
      </c>
      <c r="P11" s="54" t="s">
        <v>68</v>
      </c>
    </row>
    <row r="12" spans="1:16" ht="12.75" customHeight="1" thickBot="1" x14ac:dyDescent="0.25">
      <c r="A12" s="10" t="str">
        <f t="shared" si="0"/>
        <v>BAVM 214 </v>
      </c>
      <c r="B12" s="3" t="str">
        <f t="shared" si="1"/>
        <v>I</v>
      </c>
      <c r="C12" s="10">
        <f t="shared" si="2"/>
        <v>54942.496899999998</v>
      </c>
      <c r="D12" s="12" t="str">
        <f t="shared" si="3"/>
        <v>vis</v>
      </c>
      <c r="E12" s="50">
        <f>VLOOKUP(C12,Active!C$21:E$973,3,FALSE)</f>
        <v>6971.0562941278486</v>
      </c>
      <c r="F12" s="3" t="s">
        <v>60</v>
      </c>
      <c r="G12" s="12" t="str">
        <f t="shared" si="4"/>
        <v>54942.4969</v>
      </c>
      <c r="H12" s="10">
        <f t="shared" si="5"/>
        <v>6971</v>
      </c>
      <c r="I12" s="51" t="s">
        <v>69</v>
      </c>
      <c r="J12" s="52" t="s">
        <v>70</v>
      </c>
      <c r="K12" s="51" t="s">
        <v>71</v>
      </c>
      <c r="L12" s="51" t="s">
        <v>72</v>
      </c>
      <c r="M12" s="52" t="s">
        <v>65</v>
      </c>
      <c r="N12" s="52" t="s">
        <v>66</v>
      </c>
      <c r="O12" s="53" t="s">
        <v>73</v>
      </c>
      <c r="P12" s="54" t="s">
        <v>74</v>
      </c>
    </row>
    <row r="13" spans="1:16" ht="12.75" customHeight="1" thickBot="1" x14ac:dyDescent="0.25">
      <c r="A13" s="10" t="str">
        <f t="shared" si="0"/>
        <v>BAVM 220 </v>
      </c>
      <c r="B13" s="3" t="str">
        <f t="shared" si="1"/>
        <v>I</v>
      </c>
      <c r="C13" s="10">
        <f t="shared" si="2"/>
        <v>55674.375699999997</v>
      </c>
      <c r="D13" s="12" t="str">
        <f t="shared" si="3"/>
        <v>vis</v>
      </c>
      <c r="E13" s="50">
        <f>VLOOKUP(C13,Active!C$21:E$973,3,FALSE)</f>
        <v>9060.0758222737677</v>
      </c>
      <c r="F13" s="3" t="s">
        <v>60</v>
      </c>
      <c r="G13" s="12" t="str">
        <f t="shared" si="4"/>
        <v>55674.3757</v>
      </c>
      <c r="H13" s="10">
        <f t="shared" si="5"/>
        <v>9060</v>
      </c>
      <c r="I13" s="51" t="s">
        <v>87</v>
      </c>
      <c r="J13" s="52" t="s">
        <v>88</v>
      </c>
      <c r="K13" s="51" t="s">
        <v>89</v>
      </c>
      <c r="L13" s="51" t="s">
        <v>90</v>
      </c>
      <c r="M13" s="52" t="s">
        <v>65</v>
      </c>
      <c r="N13" s="52" t="s">
        <v>66</v>
      </c>
      <c r="O13" s="53" t="s">
        <v>67</v>
      </c>
      <c r="P13" s="54" t="s">
        <v>91</v>
      </c>
    </row>
    <row r="14" spans="1:16" ht="12.75" customHeight="1" thickBot="1" x14ac:dyDescent="0.25">
      <c r="A14" s="10" t="str">
        <f t="shared" si="0"/>
        <v>BAVM 234 </v>
      </c>
      <c r="B14" s="3" t="str">
        <f t="shared" si="1"/>
        <v>I</v>
      </c>
      <c r="C14" s="10">
        <f t="shared" si="2"/>
        <v>56397.492200000001</v>
      </c>
      <c r="D14" s="12" t="str">
        <f t="shared" si="3"/>
        <v>vis</v>
      </c>
      <c r="E14" s="50">
        <f>VLOOKUP(C14,Active!C$21:E$973,3,FALSE)</f>
        <v>11124.084903592338</v>
      </c>
      <c r="F14" s="3" t="s">
        <v>60</v>
      </c>
      <c r="G14" s="12" t="str">
        <f t="shared" si="4"/>
        <v>56397.4922</v>
      </c>
      <c r="H14" s="10">
        <f t="shared" si="5"/>
        <v>11124</v>
      </c>
      <c r="I14" s="51" t="s">
        <v>92</v>
      </c>
      <c r="J14" s="52" t="s">
        <v>93</v>
      </c>
      <c r="K14" s="51" t="s">
        <v>94</v>
      </c>
      <c r="L14" s="51" t="s">
        <v>95</v>
      </c>
      <c r="M14" s="52" t="s">
        <v>65</v>
      </c>
      <c r="N14" s="52" t="s">
        <v>60</v>
      </c>
      <c r="O14" s="53" t="s">
        <v>96</v>
      </c>
      <c r="P14" s="54" t="s">
        <v>97</v>
      </c>
    </row>
    <row r="15" spans="1:16" ht="12.75" customHeight="1" thickBot="1" x14ac:dyDescent="0.25">
      <c r="A15" s="10" t="str">
        <f t="shared" si="0"/>
        <v>OEJV 0160 </v>
      </c>
      <c r="B15" s="3" t="str">
        <f t="shared" si="1"/>
        <v>I</v>
      </c>
      <c r="C15" s="10">
        <f t="shared" si="2"/>
        <v>56478.423410000003</v>
      </c>
      <c r="D15" s="12" t="str">
        <f t="shared" si="3"/>
        <v>vis</v>
      </c>
      <c r="E15" s="50">
        <f>VLOOKUP(C15,Active!C$21:E$973,3,FALSE)</f>
        <v>11355.088832284471</v>
      </c>
      <c r="F15" s="3" t="s">
        <v>60</v>
      </c>
      <c r="G15" s="12" t="str">
        <f t="shared" si="4"/>
        <v>56478.42341</v>
      </c>
      <c r="H15" s="10">
        <f t="shared" si="5"/>
        <v>11355</v>
      </c>
      <c r="I15" s="51" t="s">
        <v>98</v>
      </c>
      <c r="J15" s="52" t="s">
        <v>99</v>
      </c>
      <c r="K15" s="51" t="s">
        <v>100</v>
      </c>
      <c r="L15" s="51" t="s">
        <v>101</v>
      </c>
      <c r="M15" s="52" t="s">
        <v>65</v>
      </c>
      <c r="N15" s="52" t="s">
        <v>102</v>
      </c>
      <c r="O15" s="53" t="s">
        <v>103</v>
      </c>
      <c r="P15" s="54" t="s">
        <v>104</v>
      </c>
    </row>
    <row r="16" spans="1:16" ht="12.75" customHeight="1" thickBot="1" x14ac:dyDescent="0.25">
      <c r="A16" s="10" t="str">
        <f t="shared" si="0"/>
        <v>OEJV 0160 </v>
      </c>
      <c r="B16" s="3" t="str">
        <f t="shared" si="1"/>
        <v>I</v>
      </c>
      <c r="C16" s="10">
        <f t="shared" si="2"/>
        <v>56478.42452</v>
      </c>
      <c r="D16" s="12" t="str">
        <f t="shared" si="3"/>
        <v>vis</v>
      </c>
      <c r="E16" s="50">
        <f>VLOOKUP(C16,Active!C$21:E$973,3,FALSE)</f>
        <v>11355.092000584566</v>
      </c>
      <c r="F16" s="3" t="s">
        <v>60</v>
      </c>
      <c r="G16" s="12" t="str">
        <f t="shared" si="4"/>
        <v>56478.42452</v>
      </c>
      <c r="H16" s="10">
        <f t="shared" si="5"/>
        <v>11355</v>
      </c>
      <c r="I16" s="51" t="s">
        <v>105</v>
      </c>
      <c r="J16" s="52" t="s">
        <v>106</v>
      </c>
      <c r="K16" s="51" t="s">
        <v>100</v>
      </c>
      <c r="L16" s="51" t="s">
        <v>107</v>
      </c>
      <c r="M16" s="52" t="s">
        <v>65</v>
      </c>
      <c r="N16" s="52" t="s">
        <v>79</v>
      </c>
      <c r="O16" s="53" t="s">
        <v>103</v>
      </c>
      <c r="P16" s="54" t="s">
        <v>104</v>
      </c>
    </row>
    <row r="17" spans="1:16" ht="12.75" customHeight="1" thickBot="1" x14ac:dyDescent="0.25">
      <c r="A17" s="10" t="str">
        <f t="shared" si="0"/>
        <v>OEJV 0160 </v>
      </c>
      <c r="B17" s="3" t="str">
        <f t="shared" si="1"/>
        <v>I</v>
      </c>
      <c r="C17" s="10">
        <f t="shared" si="2"/>
        <v>56478.425139999999</v>
      </c>
      <c r="D17" s="12" t="str">
        <f t="shared" si="3"/>
        <v>vis</v>
      </c>
      <c r="E17" s="50">
        <f>VLOOKUP(C17,Active!C$21:E$973,3,FALSE)</f>
        <v>11355.093770265699</v>
      </c>
      <c r="F17" s="3" t="s">
        <v>60</v>
      </c>
      <c r="G17" s="12" t="str">
        <f t="shared" si="4"/>
        <v>56478.42514</v>
      </c>
      <c r="H17" s="10">
        <f t="shared" si="5"/>
        <v>11355</v>
      </c>
      <c r="I17" s="51" t="s">
        <v>108</v>
      </c>
      <c r="J17" s="52" t="s">
        <v>109</v>
      </c>
      <c r="K17" s="51" t="s">
        <v>100</v>
      </c>
      <c r="L17" s="51" t="s">
        <v>110</v>
      </c>
      <c r="M17" s="52" t="s">
        <v>65</v>
      </c>
      <c r="N17" s="52" t="s">
        <v>60</v>
      </c>
      <c r="O17" s="53" t="s">
        <v>103</v>
      </c>
      <c r="P17" s="54" t="s">
        <v>104</v>
      </c>
    </row>
    <row r="18" spans="1:16" ht="12.75" customHeight="1" thickBot="1" x14ac:dyDescent="0.25">
      <c r="A18" s="10" t="str">
        <f t="shared" si="0"/>
        <v>OEJV 107 </v>
      </c>
      <c r="B18" s="3" t="str">
        <f t="shared" si="1"/>
        <v>I</v>
      </c>
      <c r="C18" s="10">
        <f t="shared" si="2"/>
        <v>54946.352299999999</v>
      </c>
      <c r="D18" s="12" t="str">
        <f t="shared" si="3"/>
        <v>vis</v>
      </c>
      <c r="E18" s="50" t="e">
        <f>VLOOKUP(C18,Active!C$21:E$973,3,FALSE)</f>
        <v>#N/A</v>
      </c>
      <c r="F18" s="3" t="s">
        <v>60</v>
      </c>
      <c r="G18" s="12" t="str">
        <f t="shared" si="4"/>
        <v>54946.3523</v>
      </c>
      <c r="H18" s="10">
        <f t="shared" si="5"/>
        <v>6982</v>
      </c>
      <c r="I18" s="51" t="s">
        <v>75</v>
      </c>
      <c r="J18" s="52" t="s">
        <v>76</v>
      </c>
      <c r="K18" s="51" t="s">
        <v>77</v>
      </c>
      <c r="L18" s="51" t="s">
        <v>78</v>
      </c>
      <c r="M18" s="52" t="s">
        <v>65</v>
      </c>
      <c r="N18" s="52" t="s">
        <v>79</v>
      </c>
      <c r="O18" s="53" t="s">
        <v>80</v>
      </c>
      <c r="P18" s="54" t="s">
        <v>81</v>
      </c>
    </row>
    <row r="19" spans="1:16" ht="12.75" customHeight="1" thickBot="1" x14ac:dyDescent="0.25">
      <c r="A19" s="10" t="str">
        <f t="shared" si="0"/>
        <v>BAVM 212 </v>
      </c>
      <c r="B19" s="3" t="str">
        <f t="shared" si="1"/>
        <v>II</v>
      </c>
      <c r="C19" s="10">
        <f t="shared" si="2"/>
        <v>55028.506600000001</v>
      </c>
      <c r="D19" s="12" t="str">
        <f t="shared" si="3"/>
        <v>vis</v>
      </c>
      <c r="E19" s="50">
        <f>VLOOKUP(C19,Active!C$21:E$973,3,FALSE)</f>
        <v>7216.5558808216801</v>
      </c>
      <c r="F19" s="3" t="s">
        <v>60</v>
      </c>
      <c r="G19" s="12" t="str">
        <f t="shared" si="4"/>
        <v>55028.5066</v>
      </c>
      <c r="H19" s="10">
        <f t="shared" si="5"/>
        <v>7216.5</v>
      </c>
      <c r="I19" s="51" t="s">
        <v>82</v>
      </c>
      <c r="J19" s="52" t="s">
        <v>83</v>
      </c>
      <c r="K19" s="51" t="s">
        <v>84</v>
      </c>
      <c r="L19" s="51" t="s">
        <v>85</v>
      </c>
      <c r="M19" s="52" t="s">
        <v>65</v>
      </c>
      <c r="N19" s="52" t="s">
        <v>66</v>
      </c>
      <c r="O19" s="53" t="s">
        <v>67</v>
      </c>
      <c r="P19" s="54" t="s">
        <v>86</v>
      </c>
    </row>
    <row r="20" spans="1:16" x14ac:dyDescent="0.2">
      <c r="B20" s="3"/>
      <c r="F20" s="3"/>
    </row>
    <row r="21" spans="1:16" x14ac:dyDescent="0.2">
      <c r="B21" s="3"/>
      <c r="F21" s="3"/>
    </row>
    <row r="22" spans="1:16" x14ac:dyDescent="0.2">
      <c r="B22" s="3"/>
      <c r="F22" s="3"/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</sheetData>
  <phoneticPr fontId="8" type="noConversion"/>
  <hyperlinks>
    <hyperlink ref="P11" r:id="rId1" display="http://www.bav-astro.de/sfs/BAVM_link.php?BAVMnr=186"/>
    <hyperlink ref="P12" r:id="rId2" display="http://www.bav-astro.de/sfs/BAVM_link.php?BAVMnr=214"/>
    <hyperlink ref="P18" r:id="rId3" display="http://var.astro.cz/oejv/issues/oejv107.pdf"/>
    <hyperlink ref="P19" r:id="rId4" display="http://www.bav-astro.de/sfs/BAVM_link.php?BAVMnr=212"/>
    <hyperlink ref="P13" r:id="rId5" display="http://www.bav-astro.de/sfs/BAVM_link.php?BAVMnr=220"/>
    <hyperlink ref="P14" r:id="rId6" display="http://www.bav-astro.de/sfs/BAVM_link.php?BAVMnr=234"/>
    <hyperlink ref="P15" r:id="rId7" display="http://var.astro.cz/oejv/issues/oejv0160.pdf"/>
    <hyperlink ref="P16" r:id="rId8" display="http://var.astro.cz/oejv/issues/oejv0160.pdf"/>
    <hyperlink ref="P17" r:id="rId9" display="http://var.astro.cz/oejv/issues/oejv0160.pdf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2024-01-05T00:30:38Z</dcterms:modified>
</cp:coreProperties>
</file>