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02CED8A-B10D-4E1D-BEE8-EC857D483D34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20" i="2" l="1"/>
  <c r="C20" i="2"/>
  <c r="G19" i="2"/>
  <c r="C19" i="2"/>
  <c r="G18" i="2"/>
  <c r="C18" i="2"/>
  <c r="G21" i="2"/>
  <c r="C21" i="2"/>
  <c r="E21" i="2"/>
  <c r="G17" i="2"/>
  <c r="C17" i="2"/>
  <c r="G16" i="2"/>
  <c r="C16" i="2"/>
  <c r="E16" i="2"/>
  <c r="E43" i="1"/>
  <c r="F43" i="1"/>
  <c r="G43" i="1"/>
  <c r="J43" i="1"/>
  <c r="G15" i="2"/>
  <c r="C15" i="2"/>
  <c r="G14" i="2"/>
  <c r="C14" i="2"/>
  <c r="E14" i="2"/>
  <c r="E41" i="1"/>
  <c r="F41" i="1"/>
  <c r="G13" i="2"/>
  <c r="C13" i="2"/>
  <c r="G12" i="2"/>
  <c r="C12" i="2"/>
  <c r="E12" i="2"/>
  <c r="E39" i="1"/>
  <c r="G11" i="2"/>
  <c r="C11" i="2"/>
  <c r="H20" i="2"/>
  <c r="D20" i="2"/>
  <c r="B20" i="2"/>
  <c r="A20" i="2"/>
  <c r="H19" i="2"/>
  <c r="B19" i="2"/>
  <c r="D19" i="2"/>
  <c r="A19" i="2"/>
  <c r="H18" i="2"/>
  <c r="D18" i="2"/>
  <c r="B18" i="2"/>
  <c r="A18" i="2"/>
  <c r="H21" i="2"/>
  <c r="B21" i="2"/>
  <c r="D21" i="2"/>
  <c r="A2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C9" i="1"/>
  <c r="D9" i="1"/>
  <c r="E30" i="1"/>
  <c r="F30" i="1"/>
  <c r="F39" i="1"/>
  <c r="Q43" i="1"/>
  <c r="Q47" i="1"/>
  <c r="Q48" i="1"/>
  <c r="Q46" i="1"/>
  <c r="C7" i="1"/>
  <c r="E44" i="1"/>
  <c r="F44" i="1"/>
  <c r="C8" i="1"/>
  <c r="E23" i="1"/>
  <c r="F23" i="1"/>
  <c r="Q37" i="1"/>
  <c r="Q44" i="1"/>
  <c r="F16" i="1"/>
  <c r="F17" i="1" s="1"/>
  <c r="C17" i="1"/>
  <c r="Q42" i="1"/>
  <c r="Q41" i="1"/>
  <c r="Q40" i="1"/>
  <c r="Q38" i="1"/>
  <c r="Q35" i="1"/>
  <c r="Q34" i="1"/>
  <c r="Q36" i="1"/>
  <c r="Q39" i="1"/>
  <c r="Q21" i="1"/>
  <c r="Q22" i="1"/>
  <c r="Q23" i="1"/>
  <c r="Q24" i="1"/>
  <c r="Q25" i="1"/>
  <c r="Q26" i="1"/>
  <c r="Q28" i="1"/>
  <c r="Q29" i="1"/>
  <c r="Q30" i="1"/>
  <c r="Q31" i="1"/>
  <c r="Q32" i="1"/>
  <c r="Q33" i="1"/>
  <c r="Q27" i="1"/>
  <c r="E17" i="2"/>
  <c r="E18" i="2"/>
  <c r="E20" i="2"/>
  <c r="E36" i="1"/>
  <c r="F36" i="1"/>
  <c r="G30" i="1"/>
  <c r="K30" i="1"/>
  <c r="E28" i="1"/>
  <c r="F28" i="1"/>
  <c r="G28" i="1"/>
  <c r="K28" i="1"/>
  <c r="G44" i="1"/>
  <c r="J44" i="1"/>
  <c r="E33" i="1"/>
  <c r="F33" i="1"/>
  <c r="G33" i="1"/>
  <c r="K33" i="1"/>
  <c r="E25" i="1"/>
  <c r="F25" i="1"/>
  <c r="G25" i="1"/>
  <c r="K25" i="1"/>
  <c r="E47" i="1"/>
  <c r="F47" i="1"/>
  <c r="G47" i="1"/>
  <c r="J47" i="1"/>
  <c r="E35" i="1"/>
  <c r="F35" i="1"/>
  <c r="G35" i="1"/>
  <c r="I35" i="1"/>
  <c r="E32" i="1"/>
  <c r="F32" i="1"/>
  <c r="G32" i="1"/>
  <c r="K32" i="1"/>
  <c r="E24" i="1"/>
  <c r="F24" i="1"/>
  <c r="G24" i="1"/>
  <c r="K24" i="1"/>
  <c r="E22" i="1"/>
  <c r="F22" i="1"/>
  <c r="G41" i="1"/>
  <c r="J41" i="1"/>
  <c r="E37" i="1"/>
  <c r="F37" i="1"/>
  <c r="G37" i="1"/>
  <c r="K37" i="1"/>
  <c r="E29" i="1"/>
  <c r="F29" i="1"/>
  <c r="G29" i="1"/>
  <c r="K29" i="1"/>
  <c r="G23" i="1"/>
  <c r="K23" i="1"/>
  <c r="E46" i="1"/>
  <c r="F46" i="1"/>
  <c r="G46" i="1"/>
  <c r="K46" i="1"/>
  <c r="E48" i="1"/>
  <c r="F48" i="1"/>
  <c r="G48" i="1"/>
  <c r="K48" i="1"/>
  <c r="E27" i="1"/>
  <c r="F27" i="1"/>
  <c r="G27" i="1"/>
  <c r="K27" i="1"/>
  <c r="E21" i="1"/>
  <c r="F21" i="1"/>
  <c r="G36" i="1"/>
  <c r="K36" i="1"/>
  <c r="E34" i="1"/>
  <c r="F34" i="1"/>
  <c r="G34" i="1"/>
  <c r="K34" i="1"/>
  <c r="E26" i="1"/>
  <c r="F26" i="1"/>
  <c r="G26" i="1"/>
  <c r="K26" i="1"/>
  <c r="E38" i="1"/>
  <c r="F38" i="1"/>
  <c r="G38" i="1"/>
  <c r="J38" i="1"/>
  <c r="E40" i="1"/>
  <c r="F40" i="1"/>
  <c r="G40" i="1"/>
  <c r="K40" i="1"/>
  <c r="E42" i="1"/>
  <c r="F42" i="1"/>
  <c r="G42" i="1"/>
  <c r="K42" i="1"/>
  <c r="E31" i="1"/>
  <c r="F31" i="1"/>
  <c r="G31" i="1"/>
  <c r="K31" i="1"/>
  <c r="E15" i="2"/>
  <c r="E19" i="2"/>
  <c r="E11" i="2"/>
  <c r="E13" i="2"/>
  <c r="C11" i="1"/>
  <c r="C12" i="1"/>
  <c r="C16" i="1" l="1"/>
  <c r="D18" i="1" s="1"/>
  <c r="O35" i="1"/>
  <c r="O34" i="1"/>
  <c r="O38" i="1"/>
  <c r="O22" i="1"/>
  <c r="O26" i="1"/>
  <c r="O21" i="1"/>
  <c r="O37" i="1"/>
  <c r="O39" i="1"/>
  <c r="C15" i="1"/>
  <c r="O25" i="1"/>
  <c r="O36" i="1"/>
  <c r="O46" i="1"/>
  <c r="O42" i="1"/>
  <c r="O31" i="1"/>
  <c r="O24" i="1"/>
  <c r="O28" i="1"/>
  <c r="O47" i="1"/>
  <c r="O29" i="1"/>
  <c r="O30" i="1"/>
  <c r="O33" i="1"/>
  <c r="O43" i="1"/>
  <c r="O23" i="1"/>
  <c r="O27" i="1"/>
  <c r="O32" i="1"/>
  <c r="O41" i="1"/>
  <c r="O40" i="1"/>
  <c r="O48" i="1"/>
  <c r="O44" i="1"/>
  <c r="F18" i="1" l="1"/>
  <c r="F19" i="1" s="1"/>
  <c r="C18" i="1"/>
</calcChain>
</file>

<file path=xl/sharedStrings.xml><?xml version="1.0" encoding="utf-8"?>
<sst xmlns="http://schemas.openxmlformats.org/spreadsheetml/2006/main" count="233" uniqueCount="126">
  <si>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</si>
  <si>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</si>
  <si>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</si>
  <si>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</si>
  <si>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</si>
  <si>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</si>
  <si>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</si>
  <si>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</si>
  <si>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</si>
  <si>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</si>
  <si>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</si>
  <si>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</si>
  <si>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</si>
  <si>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</si>
  <si>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</si>
  <si>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</si>
  <si>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</si>
  <si>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</si>
  <si>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</si>
  <si>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</si>
  <si>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</si>
  <si>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</si>
  <si>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</si>
  <si>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</si>
  <si>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</si>
  <si>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</si>
  <si>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</si>
  <si>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MU Dra / GSC 3549-0929</t>
  </si>
  <si>
    <t>IBVS 5232</t>
  </si>
  <si>
    <t>IBVS 5232 Eph.</t>
  </si>
  <si>
    <t>II</t>
  </si>
  <si>
    <t>I</t>
  </si>
  <si>
    <t>IBVS 5438</t>
  </si>
  <si>
    <t>IBVS 5543</t>
  </si>
  <si>
    <t>IBVS 5653</t>
  </si>
  <si>
    <t>IBVS 5781</t>
  </si>
  <si>
    <t xml:space="preserve">EW    </t>
  </si>
  <si>
    <t>IBVS 5802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</si>
  <si>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</si>
  <si>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</si>
  <si>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</si>
  <si>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</si>
  <si>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</si>
  <si>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</si>
  <si>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5837</t>
  </si>
  <si>
    <t>IBVS 5920</t>
  </si>
  <si>
    <t>Add cycle</t>
  </si>
  <si>
    <t>Old Cycle</t>
  </si>
  <si>
    <t>IBVS 6010</t>
  </si>
  <si>
    <t>IBVS 6029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</si>
  <si>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</si>
  <si>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</si>
  <si>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</si>
  <si>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</si>
  <si>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</si>
  <si>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</si>
  <si>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</si>
  <si>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</si>
  <si>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</si>
  <si>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</si>
  <si>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</si>
  <si>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</si>
  <si>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</si>
  <si>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2453991.3318 </t>
  </si>
  <si>
    <t> 12.09.2006 19:57 </t>
  </si>
  <si>
    <t> -0.0218 </t>
  </si>
  <si>
    <t>C </t>
  </si>
  <si>
    <t>-I</t>
  </si>
  <si>
    <t> K.&amp; M.Rätz </t>
  </si>
  <si>
    <t>BAVM 186 </t>
  </si>
  <si>
    <t>2454018.268 </t>
  </si>
  <si>
    <t> 09.10.2006 18:25 </t>
  </si>
  <si>
    <t>5353</t>
  </si>
  <si>
    <t> -0.010 </t>
  </si>
  <si>
    <t>R</t>
  </si>
  <si>
    <t> E.Blättler </t>
  </si>
  <si>
    <t> BBS 133 (=IBVS 5781) </t>
  </si>
  <si>
    <t>2454018.432 </t>
  </si>
  <si>
    <t> 09.10.2006 22:22 </t>
  </si>
  <si>
    <t>5353.5</t>
  </si>
  <si>
    <t> -0.021 </t>
  </si>
  <si>
    <t>2454387.3245 </t>
  </si>
  <si>
    <t> 13.10.2007 19:47 </t>
  </si>
  <si>
    <t>6408.5</t>
  </si>
  <si>
    <t> -0.0281 </t>
  </si>
  <si>
    <t> BBS 166 (=IBVS 5837) </t>
  </si>
  <si>
    <t>2455104.3112 </t>
  </si>
  <si>
    <t> 29.09.2009 19:28 </t>
  </si>
  <si>
    <t>8459</t>
  </si>
  <si>
    <t> -0.0356 </t>
  </si>
  <si>
    <t>IBVS 5920 </t>
  </si>
  <si>
    <t>2455418.4813 </t>
  </si>
  <si>
    <t> 09.08.2010 23:33 </t>
  </si>
  <si>
    <t>9357.5</t>
  </si>
  <si>
    <t> -0.0422 </t>
  </si>
  <si>
    <t> F.Agerer </t>
  </si>
  <si>
    <t>BAVM 215 </t>
  </si>
  <si>
    <t>2455674.4340 </t>
  </si>
  <si>
    <t> 22.04.2011 22:24 </t>
  </si>
  <si>
    <t>10089.5</t>
  </si>
  <si>
    <t> -0.0465 </t>
  </si>
  <si>
    <t>BAVM 220 </t>
  </si>
  <si>
    <t>2455832.3045 </t>
  </si>
  <si>
    <t> 27.09.2011 19:18 </t>
  </si>
  <si>
    <t>10541</t>
  </si>
  <si>
    <t> -0.0511 </t>
  </si>
  <si>
    <t> M.&amp; K.Rätz </t>
  </si>
  <si>
    <t>BAVM 225 </t>
  </si>
  <si>
    <t>2456089.8348 </t>
  </si>
  <si>
    <t> 11.06.2012 08:02 </t>
  </si>
  <si>
    <t>11277.5</t>
  </si>
  <si>
    <t> -0.0513 </t>
  </si>
  <si>
    <t> R.Diethelm </t>
  </si>
  <si>
    <t>IBVS 6029 </t>
  </si>
  <si>
    <t>2456933.3947 </t>
  </si>
  <si>
    <t> 02.10.2014 21:28 </t>
  </si>
  <si>
    <t>13690</t>
  </si>
  <si>
    <t> -0.0654 </t>
  </si>
  <si>
    <t>BAVM 239 </t>
  </si>
  <si>
    <t>2456933.5651 </t>
  </si>
  <si>
    <t> 03.10.2014 01:33 </t>
  </si>
  <si>
    <t>13690.5</t>
  </si>
  <si>
    <t> -0.0699 </t>
  </si>
  <si>
    <t>BAD?</t>
  </si>
  <si>
    <t>vis/CCD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</si>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</sst>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7" fillId="0" borderId="0" xfId="0" applyFont="1" applyAlignment="1"/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1" fillId="0" borderId="0" xfId="0" applyFont="1">
      <alignment vertical="top"/>
    </xf>
    <xf numFmtId="22" fontId="7" fillId="0" borderId="0" xfId="0" applyNumberFormat="1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5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5" fillId="2" borderId="13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7" fillId="0" borderId="2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1" fillId="0" borderId="0" xfId="0" applyFont="1" applyAlignment="1">
      <alignment vertical="top"/>
    </xf>
    <xf numFmtId="0" fontId="8" fillId="0" borderId="2" xfId="0" applyFont="1" applyBorder="1" applyAlignment="1">
      <alignment horizontal="center"/>
    </xf>
    <xf numFmtId="0" fontId="8" fillId="0" borderId="5" xfId="0" applyFont="1" applyBorder="1">
      <alignment vertical="top"/>
    </xf>
    <xf numFmtId="0" fontId="8" fillId="0" borderId="6" xfId="0" applyFont="1" applyBorder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6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MU Dra - O-C Diagr.</a:t>
            </a:r>
          </a:p>
        </c:rich>
      </c:tx>
      <c:layout>
        <c:manualLayout>
          <c:xMode val="edge"/>
          <c:yMode val="edge"/>
          <c:x val="0.3780294183743994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D4-4533-9597-CCCE718360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4">
                  <c:v>-1.5439999988302588E-3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4-4533-9597-CCCE718360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7">
                  <c:v>-2.1767999998701271E-2</c:v>
                </c:pt>
                <c:pt idx="20">
                  <c:v>-2.8077999995730352E-2</c:v>
                </c:pt>
                <c:pt idx="22">
                  <c:v>-4.2209999999613501E-2</c:v>
                </c:pt>
                <c:pt idx="23">
                  <c:v>-4.6485999999276828E-2</c:v>
                </c:pt>
                <c:pt idx="26">
                  <c:v>-6.5420000006270129E-2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D4-4533-9597-CCCE718360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2">
                  <c:v>1.4620000001741573E-3</c:v>
                </c:pt>
                <c:pt idx="3">
                  <c:v>8.4199999400880188E-4</c:v>
                </c:pt>
                <c:pt idx="4">
                  <c:v>1.3120000003254972E-3</c:v>
                </c:pt>
                <c:pt idx="5">
                  <c:v>1.7339999976684339E-3</c:v>
                </c:pt>
                <c:pt idx="6">
                  <c:v>0</c:v>
                </c:pt>
                <c:pt idx="7">
                  <c:v>2.0000000222353265E-4</c:v>
                </c:pt>
                <c:pt idx="8">
                  <c:v>2.771999999822583E-3</c:v>
                </c:pt>
                <c:pt idx="9">
                  <c:v>-4.9199999921256676E-4</c:v>
                </c:pt>
                <c:pt idx="10">
                  <c:v>3.4000004234258085E-5</c:v>
                </c:pt>
                <c:pt idx="11">
                  <c:v>0</c:v>
                </c:pt>
                <c:pt idx="12">
                  <c:v>-3.5560000033001415E-3</c:v>
                </c:pt>
                <c:pt idx="13">
                  <c:v>3.7400000001071021E-3</c:v>
                </c:pt>
                <c:pt idx="15">
                  <c:v>-1.1956000002101064E-2</c:v>
                </c:pt>
                <c:pt idx="16">
                  <c:v>-1.8681999994441867E-2</c:v>
                </c:pt>
                <c:pt idx="19">
                  <c:v>-2.0837999996729195E-2</c:v>
                </c:pt>
                <c:pt idx="21">
                  <c:v>-3.5611999999673571E-2</c:v>
                </c:pt>
                <c:pt idx="25">
                  <c:v>-5.1270000003569294E-2</c:v>
                </c:pt>
                <c:pt idx="27">
                  <c:v>-6.9854000001214445E-2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D4-4533-9597-CCCE718360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D4-4533-9597-CCCE718360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D4-4533-9597-CCCE718360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D4-4533-9597-CCCE718360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1.4088941903915263E-2</c:v>
                </c:pt>
                <c:pt idx="1">
                  <c:v>1.3387205321195576E-2</c:v>
                </c:pt>
                <c:pt idx="2">
                  <c:v>2.2317639752805797E-3</c:v>
                </c:pt>
                <c:pt idx="3">
                  <c:v>2.0388467016806662E-3</c:v>
                </c:pt>
                <c:pt idx="4">
                  <c:v>1.9303307352807151E-3</c:v>
                </c:pt>
                <c:pt idx="5">
                  <c:v>1.8893358146407334E-3</c:v>
                </c:pt>
                <c:pt idx="6">
                  <c:v>1.8869243487207345E-3</c:v>
                </c:pt>
                <c:pt idx="7">
                  <c:v>1.8869243487207345E-3</c:v>
                </c:pt>
                <c:pt idx="8">
                  <c:v>1.5444961880808881E-3</c:v>
                </c:pt>
                <c:pt idx="9">
                  <c:v>1.4335687557609379E-3</c:v>
                </c:pt>
                <c:pt idx="10">
                  <c:v>1.4070426306409497E-3</c:v>
                </c:pt>
                <c:pt idx="11">
                  <c:v>1.4046311647209508E-3</c:v>
                </c:pt>
                <c:pt idx="12">
                  <c:v>1.3226413234409876E-3</c:v>
                </c:pt>
                <c:pt idx="13">
                  <c:v>-1.9473064640775461E-3</c:v>
                </c:pt>
                <c:pt idx="14">
                  <c:v>-5.988923345995734E-3</c:v>
                </c:pt>
                <c:pt idx="15">
                  <c:v>-1.3146154196552523E-2</c:v>
                </c:pt>
                <c:pt idx="16">
                  <c:v>-1.7339693431430644E-2</c:v>
                </c:pt>
                <c:pt idx="17">
                  <c:v>-2.3558864039107855E-2</c:v>
                </c:pt>
                <c:pt idx="18">
                  <c:v>-2.3930229790787686E-2</c:v>
                </c:pt>
                <c:pt idx="19">
                  <c:v>-2.3932641256707687E-2</c:v>
                </c:pt>
                <c:pt idx="20">
                  <c:v>-2.9020834347905405E-2</c:v>
                </c:pt>
                <c:pt idx="21">
                  <c:v>-3.8910256085820966E-2</c:v>
                </c:pt>
                <c:pt idx="22">
                  <c:v>-4.3243660344059021E-2</c:v>
                </c:pt>
                <c:pt idx="23">
                  <c:v>-4.677404645093744E-2</c:v>
                </c:pt>
                <c:pt idx="25">
                  <c:v>-5.2503689476854867E-2</c:v>
                </c:pt>
                <c:pt idx="26">
                  <c:v>-6.4139012540849652E-2</c:v>
                </c:pt>
                <c:pt idx="27">
                  <c:v>-6.4141424006769657E-2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D4-4533-9597-CCCE718360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-1.759999999194406E-3</c:v>
                </c:pt>
                <c:pt idx="1">
                  <c:v>1.4459999947575852E-3</c:v>
                </c:pt>
                <c:pt idx="18">
                  <c:v>-1.0004000003391411E-2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D4-4533-9597-CCCE71836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59632"/>
        <c:axId val="1"/>
      </c:scatterChart>
      <c:valAx>
        <c:axId val="77855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55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4411144891216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3DAE04-7EDE-D652-DBCF-B8ED7D876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920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1"/>
  <sheetViews>
    <sheetView tabSelected="1" workbookViewId="0">
      <pane xSplit="7" ySplit="21" topLeftCell="H35" activePane="bottomRight" state="frozen"/>
      <selection pane="topRight" activeCell="H1" sqref="H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27</v>
      </c>
    </row>
    <row r="2" spans="1:6" s="38" customFormat="1" ht="12.95" customHeight="1" x14ac:dyDescent="0.2">
      <c r="A2" s="38" t="s">
        <v>22</v>
      </c>
      <c r="B2" s="5" t="s">
        <v>36</v>
      </c>
      <c r="C2" s="39"/>
      <c r="D2" s="39"/>
    </row>
    <row r="3" spans="1:6" s="38" customFormat="1" ht="12.95" customHeight="1" thickBot="1" x14ac:dyDescent="0.25"/>
    <row r="4" spans="1:6" s="38" customFormat="1" ht="12.95" customHeight="1" thickBot="1" x14ac:dyDescent="0.25">
      <c r="A4" s="40" t="s">
        <v>29</v>
      </c>
      <c r="C4" s="41">
        <v>52146.5052</v>
      </c>
      <c r="D4" s="42">
        <v>0.34966799999999998</v>
      </c>
    </row>
    <row r="5" spans="1:6" s="38" customFormat="1" ht="12.95" customHeight="1" x14ac:dyDescent="0.2">
      <c r="A5" s="7" t="s">
        <v>38</v>
      </c>
      <c r="B5" s="5"/>
      <c r="C5" s="9">
        <v>-9.5</v>
      </c>
      <c r="D5" s="5" t="s">
        <v>39</v>
      </c>
    </row>
    <row r="6" spans="1:6" s="38" customFormat="1" ht="12.95" customHeight="1" x14ac:dyDescent="0.2">
      <c r="A6" s="40" t="s">
        <v>0</v>
      </c>
    </row>
    <row r="7" spans="1:6" s="38" customFormat="1" ht="12.95" customHeight="1" x14ac:dyDescent="0.2">
      <c r="A7" s="38" t="s">
        <v>1</v>
      </c>
      <c r="C7" s="38">
        <f>+C4</f>
        <v>52146.5052</v>
      </c>
    </row>
    <row r="8" spans="1:6" s="38" customFormat="1" ht="12.95" customHeight="1" x14ac:dyDescent="0.2">
      <c r="A8" s="38" t="s">
        <v>2</v>
      </c>
      <c r="C8" s="38">
        <f>+D4</f>
        <v>0.34966799999999998</v>
      </c>
    </row>
    <row r="9" spans="1:6" s="38" customFormat="1" ht="12.95" customHeight="1" x14ac:dyDescent="0.2">
      <c r="A9" s="43" t="s">
        <v>43</v>
      </c>
      <c r="B9" s="16">
        <v>21</v>
      </c>
      <c r="C9" s="15" t="str">
        <f>"F"&amp;B9</f>
        <v>F21</v>
      </c>
      <c r="D9" s="6" t="str">
        <f>"G"&amp;B9</f>
        <v>G21</v>
      </c>
    </row>
    <row r="10" spans="1:6" s="38" customFormat="1" ht="12.95" customHeight="1" thickBot="1" x14ac:dyDescent="0.25">
      <c r="A10" s="5"/>
      <c r="B10" s="5"/>
      <c r="C10" s="44" t="s">
        <v>18</v>
      </c>
      <c r="D10" s="44" t="s">
        <v>19</v>
      </c>
      <c r="E10" s="5"/>
    </row>
    <row r="11" spans="1:6" s="38" customFormat="1" ht="12.95" customHeight="1" x14ac:dyDescent="0.2">
      <c r="A11" s="5" t="s">
        <v>14</v>
      </c>
      <c r="B11" s="5"/>
      <c r="C11" s="14">
        <f ca="1">INTERCEPT(INDIRECT($D$9):G991,INDIRECT($C$9):F991)</f>
        <v>1.8869243487207345E-3</v>
      </c>
      <c r="D11" s="39"/>
      <c r="E11" s="5"/>
    </row>
    <row r="12" spans="1:6" s="38" customFormat="1" ht="12.95" customHeight="1" x14ac:dyDescent="0.2">
      <c r="A12" s="5" t="s">
        <v>15</v>
      </c>
      <c r="B12" s="5"/>
      <c r="C12" s="14">
        <f ca="1">SLOPE(INDIRECT($D$9):G991,INDIRECT($C$9):F991)</f>
        <v>-4.822931839997837E-6</v>
      </c>
      <c r="D12" s="39"/>
      <c r="E12" s="5"/>
    </row>
    <row r="13" spans="1:6" s="38" customFormat="1" ht="12.95" customHeight="1" x14ac:dyDescent="0.2">
      <c r="A13" s="5" t="s">
        <v>17</v>
      </c>
      <c r="B13" s="5"/>
      <c r="C13" s="39" t="s">
        <v>12</v>
      </c>
    </row>
    <row r="14" spans="1:6" s="38" customFormat="1" ht="12.95" customHeight="1" x14ac:dyDescent="0.2">
      <c r="A14" s="5"/>
      <c r="B14" s="5"/>
      <c r="C14" s="5"/>
    </row>
    <row r="15" spans="1:6" s="38" customFormat="1" ht="12.95" customHeight="1" x14ac:dyDescent="0.2">
      <c r="A15" s="10" t="s">
        <v>16</v>
      </c>
      <c r="B15" s="5"/>
      <c r="C15" s="11">
        <f ca="1">(C7+C11)+(C8+C12)*INT(MAX(F21:F3532))</f>
        <v>56933.395980987458</v>
      </c>
      <c r="E15" s="12" t="s">
        <v>46</v>
      </c>
      <c r="F15" s="9">
        <v>1</v>
      </c>
    </row>
    <row r="16" spans="1:6" s="38" customFormat="1" ht="12.95" customHeight="1" x14ac:dyDescent="0.2">
      <c r="A16" s="10" t="s">
        <v>3</v>
      </c>
      <c r="B16" s="5"/>
      <c r="C16" s="11">
        <f ca="1">+C8+C12</f>
        <v>0.34966317706815997</v>
      </c>
      <c r="E16" s="12" t="s">
        <v>40</v>
      </c>
      <c r="F16" s="14">
        <f ca="1">NOW()+15018.5+$C$5/24</f>
        <v>60314.564972685184</v>
      </c>
    </row>
    <row r="17" spans="1:21" s="38" customFormat="1" ht="12.95" customHeight="1" thickBot="1" x14ac:dyDescent="0.25">
      <c r="A17" s="12" t="s">
        <v>26</v>
      </c>
      <c r="B17" s="5"/>
      <c r="C17" s="5">
        <f>COUNT(C21:C2190)</f>
        <v>28</v>
      </c>
      <c r="E17" s="12" t="s">
        <v>47</v>
      </c>
      <c r="F17" s="14">
        <f ca="1">ROUND(2*(F16-$C$7)/$C$8,0)/2+F15</f>
        <v>23360.5</v>
      </c>
    </row>
    <row r="18" spans="1:21" s="38" customFormat="1" ht="12.95" customHeight="1" thickTop="1" thickBot="1" x14ac:dyDescent="0.25">
      <c r="A18" s="10" t="s">
        <v>4</v>
      </c>
      <c r="B18" s="5"/>
      <c r="C18" s="45">
        <f ca="1">+C15</f>
        <v>56933.395980987458</v>
      </c>
      <c r="D18" s="46">
        <f ca="1">+C16</f>
        <v>0.34966317706815997</v>
      </c>
      <c r="E18" s="12" t="s">
        <v>41</v>
      </c>
      <c r="F18" s="6">
        <f ca="1">ROUND(2*(F16-$C$15)/$C$16,0)/2+F15</f>
        <v>9671</v>
      </c>
    </row>
    <row r="19" spans="1:21" s="38" customFormat="1" ht="12.95" customHeight="1" thickTop="1" x14ac:dyDescent="0.2">
      <c r="E19" s="12" t="s">
        <v>42</v>
      </c>
      <c r="F19" s="13">
        <f ca="1">+$C$15+$C$16*F18-15018.5-$C$5/24</f>
        <v>45296.884399746967</v>
      </c>
    </row>
    <row r="20" spans="1:21" s="38" customFormat="1" ht="12.95" customHeight="1" thickBot="1" x14ac:dyDescent="0.25">
      <c r="A20" s="44" t="s">
        <v>5</v>
      </c>
      <c r="B20" s="44" t="s">
        <v>6</v>
      </c>
      <c r="C20" s="44" t="s">
        <v>7</v>
      </c>
      <c r="D20" s="44" t="s">
        <v>11</v>
      </c>
      <c r="E20" s="44" t="s">
        <v>8</v>
      </c>
      <c r="F20" s="44" t="s">
        <v>9</v>
      </c>
      <c r="G20" s="44" t="s">
        <v>10</v>
      </c>
      <c r="H20" s="3" t="s">
        <v>59</v>
      </c>
      <c r="I20" s="3" t="s">
        <v>62</v>
      </c>
      <c r="J20" s="3" t="s">
        <v>56</v>
      </c>
      <c r="K20" s="3" t="s">
        <v>54</v>
      </c>
      <c r="L20" s="3" t="s">
        <v>23</v>
      </c>
      <c r="M20" s="3" t="s">
        <v>24</v>
      </c>
      <c r="N20" s="3" t="s">
        <v>25</v>
      </c>
      <c r="O20" s="3" t="s">
        <v>21</v>
      </c>
      <c r="P20" s="3" t="s">
        <v>20</v>
      </c>
      <c r="Q20" s="44" t="s">
        <v>13</v>
      </c>
      <c r="U20" s="37" t="s">
        <v>123</v>
      </c>
    </row>
    <row r="21" spans="1:21" s="38" customFormat="1" ht="12.95" customHeight="1" x14ac:dyDescent="0.2">
      <c r="A21" s="38" t="s">
        <v>28</v>
      </c>
      <c r="B21" s="47" t="s">
        <v>31</v>
      </c>
      <c r="C21" s="48">
        <v>51261.843399999998</v>
      </c>
      <c r="D21" s="49">
        <v>1E-3</v>
      </c>
      <c r="E21" s="38">
        <f t="shared" ref="E21:E44" si="0">+(C21-C$7)/C$8</f>
        <v>-2530.0050333459217</v>
      </c>
      <c r="F21" s="38">
        <f t="shared" ref="F21:F44" si="1">ROUND(2*E21,0)/2</f>
        <v>-2530</v>
      </c>
      <c r="O21" s="38">
        <f t="shared" ref="O21:O44" ca="1" si="2">+C$11+C$12*$F21</f>
        <v>1.4088941903915263E-2</v>
      </c>
      <c r="Q21" s="50">
        <f t="shared" ref="Q21:Q44" si="3">+C21-15018.5</f>
        <v>36243.343399999998</v>
      </c>
      <c r="R21" s="38" t="s">
        <v>54</v>
      </c>
      <c r="U21" s="6">
        <v>-1.759999999194406E-3</v>
      </c>
    </row>
    <row r="22" spans="1:21" s="38" customFormat="1" ht="12.95" customHeight="1" x14ac:dyDescent="0.2">
      <c r="A22" s="38" t="s">
        <v>28</v>
      </c>
      <c r="B22" s="47" t="s">
        <v>30</v>
      </c>
      <c r="C22" s="48">
        <v>51312.723299999998</v>
      </c>
      <c r="D22" s="49">
        <v>1E-3</v>
      </c>
      <c r="E22" s="38">
        <f t="shared" si="0"/>
        <v>-2384.4958646487576</v>
      </c>
      <c r="F22" s="38">
        <f t="shared" si="1"/>
        <v>-2384.5</v>
      </c>
      <c r="O22" s="38">
        <f t="shared" ca="1" si="2"/>
        <v>1.3387205321195576E-2</v>
      </c>
      <c r="Q22" s="50">
        <f t="shared" si="3"/>
        <v>36294.223299999998</v>
      </c>
      <c r="R22" s="38" t="s">
        <v>54</v>
      </c>
      <c r="U22" s="6">
        <v>1.4459999947575852E-3</v>
      </c>
    </row>
    <row r="23" spans="1:21" s="38" customFormat="1" ht="12.95" customHeight="1" x14ac:dyDescent="0.2">
      <c r="A23" s="38" t="s">
        <v>28</v>
      </c>
      <c r="B23" s="47" t="s">
        <v>30</v>
      </c>
      <c r="C23" s="48">
        <v>52121.505400000002</v>
      </c>
      <c r="D23" s="49">
        <v>2.0000000000000001E-4</v>
      </c>
      <c r="E23" s="38">
        <f t="shared" si="0"/>
        <v>-71.495818891056018</v>
      </c>
      <c r="F23" s="38">
        <f t="shared" si="1"/>
        <v>-71.5</v>
      </c>
      <c r="G23" s="38">
        <f t="shared" ref="G23:G38" si="4">+C23-(C$7+F23*C$8)</f>
        <v>1.4620000001741573E-3</v>
      </c>
      <c r="K23" s="38">
        <f t="shared" ref="K23:K34" si="5">+G23</f>
        <v>1.4620000001741573E-3</v>
      </c>
      <c r="O23" s="38">
        <f t="shared" ca="1" si="2"/>
        <v>2.2317639752805797E-3</v>
      </c>
      <c r="Q23" s="50">
        <f t="shared" si="3"/>
        <v>37103.005400000002</v>
      </c>
      <c r="R23" s="38" t="s">
        <v>54</v>
      </c>
    </row>
    <row r="24" spans="1:21" s="38" customFormat="1" ht="12.95" customHeight="1" x14ac:dyDescent="0.2">
      <c r="A24" s="38" t="s">
        <v>28</v>
      </c>
      <c r="B24" s="47" t="s">
        <v>30</v>
      </c>
      <c r="C24" s="48">
        <v>52135.491499999996</v>
      </c>
      <c r="D24" s="49">
        <v>1E-3</v>
      </c>
      <c r="E24" s="38">
        <f t="shared" si="0"/>
        <v>-31.497592001564787</v>
      </c>
      <c r="F24" s="38">
        <f t="shared" si="1"/>
        <v>-31.5</v>
      </c>
      <c r="G24" s="38">
        <f t="shared" si="4"/>
        <v>8.4199999400880188E-4</v>
      </c>
      <c r="K24" s="38">
        <f t="shared" si="5"/>
        <v>8.4199999400880188E-4</v>
      </c>
      <c r="O24" s="38">
        <f t="shared" ca="1" si="2"/>
        <v>2.0388467016806662E-3</v>
      </c>
      <c r="Q24" s="50">
        <f t="shared" si="3"/>
        <v>37116.991499999996</v>
      </c>
      <c r="R24" s="38" t="s">
        <v>54</v>
      </c>
    </row>
    <row r="25" spans="1:21" s="38" customFormat="1" ht="12.95" customHeight="1" x14ac:dyDescent="0.2">
      <c r="A25" s="38" t="s">
        <v>28</v>
      </c>
      <c r="B25" s="47" t="s">
        <v>31</v>
      </c>
      <c r="C25" s="48">
        <v>52143.359499999999</v>
      </c>
      <c r="D25" s="49">
        <v>6.9999999999999999E-4</v>
      </c>
      <c r="E25" s="38">
        <f t="shared" si="0"/>
        <v>-8.996247869410249</v>
      </c>
      <c r="F25" s="38">
        <f t="shared" si="1"/>
        <v>-9</v>
      </c>
      <c r="G25" s="38">
        <f t="shared" si="4"/>
        <v>1.3120000003254972E-3</v>
      </c>
      <c r="K25" s="38">
        <f t="shared" si="5"/>
        <v>1.3120000003254972E-3</v>
      </c>
      <c r="O25" s="38">
        <f t="shared" ca="1" si="2"/>
        <v>1.9303307352807151E-3</v>
      </c>
      <c r="Q25" s="50">
        <f t="shared" si="3"/>
        <v>37124.859499999999</v>
      </c>
      <c r="R25" s="38" t="s">
        <v>54</v>
      </c>
    </row>
    <row r="26" spans="1:21" s="38" customFormat="1" ht="12.95" customHeight="1" x14ac:dyDescent="0.2">
      <c r="A26" s="38" t="s">
        <v>28</v>
      </c>
      <c r="B26" s="47" t="s">
        <v>30</v>
      </c>
      <c r="C26" s="48">
        <v>52146.3321</v>
      </c>
      <c r="D26" s="49">
        <v>1.8E-3</v>
      </c>
      <c r="E26" s="38">
        <f t="shared" si="0"/>
        <v>-0.49504101032973202</v>
      </c>
      <c r="F26" s="38">
        <f t="shared" si="1"/>
        <v>-0.5</v>
      </c>
      <c r="G26" s="38">
        <f t="shared" si="4"/>
        <v>1.7339999976684339E-3</v>
      </c>
      <c r="K26" s="38">
        <f t="shared" si="5"/>
        <v>1.7339999976684339E-3</v>
      </c>
      <c r="O26" s="38">
        <f t="shared" ca="1" si="2"/>
        <v>1.8893358146407334E-3</v>
      </c>
      <c r="Q26" s="50">
        <f t="shared" si="3"/>
        <v>37127.8321</v>
      </c>
      <c r="R26" s="38" t="s">
        <v>54</v>
      </c>
    </row>
    <row r="27" spans="1:21" s="38" customFormat="1" ht="12.95" customHeight="1" x14ac:dyDescent="0.2">
      <c r="A27" s="38" t="s">
        <v>28</v>
      </c>
      <c r="C27" s="49">
        <v>52146.5052</v>
      </c>
      <c r="D27" s="49" t="s">
        <v>12</v>
      </c>
      <c r="E27" s="38">
        <f t="shared" si="0"/>
        <v>0</v>
      </c>
      <c r="F27" s="38">
        <f t="shared" si="1"/>
        <v>0</v>
      </c>
      <c r="G27" s="38">
        <f t="shared" si="4"/>
        <v>0</v>
      </c>
      <c r="K27" s="38">
        <f t="shared" si="5"/>
        <v>0</v>
      </c>
      <c r="O27" s="38">
        <f t="shared" ca="1" si="2"/>
        <v>1.8869243487207345E-3</v>
      </c>
      <c r="Q27" s="50">
        <f t="shared" si="3"/>
        <v>37128.0052</v>
      </c>
      <c r="R27" s="38" t="s">
        <v>54</v>
      </c>
    </row>
    <row r="28" spans="1:21" s="38" customFormat="1" ht="12.95" customHeight="1" x14ac:dyDescent="0.2">
      <c r="A28" s="38" t="s">
        <v>28</v>
      </c>
      <c r="B28" s="47" t="s">
        <v>31</v>
      </c>
      <c r="C28" s="48">
        <v>52146.505400000002</v>
      </c>
      <c r="D28" s="49">
        <v>5.9999999999999995E-4</v>
      </c>
      <c r="E28" s="38">
        <f t="shared" si="0"/>
        <v>5.7197113325649666E-4</v>
      </c>
      <c r="F28" s="38">
        <f t="shared" si="1"/>
        <v>0</v>
      </c>
      <c r="G28" s="38">
        <f t="shared" si="4"/>
        <v>2.0000000222353265E-4</v>
      </c>
      <c r="K28" s="38">
        <f t="shared" si="5"/>
        <v>2.0000000222353265E-4</v>
      </c>
      <c r="O28" s="38">
        <f t="shared" ca="1" si="2"/>
        <v>1.8869243487207345E-3</v>
      </c>
      <c r="Q28" s="50">
        <f t="shared" si="3"/>
        <v>37128.005400000002</v>
      </c>
      <c r="R28" s="38" t="s">
        <v>54</v>
      </c>
    </row>
    <row r="29" spans="1:21" s="38" customFormat="1" ht="12.95" customHeight="1" x14ac:dyDescent="0.2">
      <c r="A29" s="38" t="s">
        <v>28</v>
      </c>
      <c r="B29" s="47" t="s">
        <v>31</v>
      </c>
      <c r="C29" s="48">
        <v>52171.3344</v>
      </c>
      <c r="D29" s="49">
        <v>1.6999999999999999E-3</v>
      </c>
      <c r="E29" s="38">
        <f t="shared" si="0"/>
        <v>71.007927519819177</v>
      </c>
      <c r="F29" s="38">
        <f t="shared" si="1"/>
        <v>71</v>
      </c>
      <c r="G29" s="38">
        <f t="shared" si="4"/>
        <v>2.771999999822583E-3</v>
      </c>
      <c r="K29" s="38">
        <f t="shared" si="5"/>
        <v>2.771999999822583E-3</v>
      </c>
      <c r="O29" s="38">
        <f t="shared" ca="1" si="2"/>
        <v>1.5444961880808881E-3</v>
      </c>
      <c r="Q29" s="50">
        <f t="shared" si="3"/>
        <v>37152.8344</v>
      </c>
      <c r="R29" s="38" t="s">
        <v>54</v>
      </c>
    </row>
    <row r="30" spans="1:21" s="38" customFormat="1" ht="12.95" customHeight="1" x14ac:dyDescent="0.2">
      <c r="A30" s="38" t="s">
        <v>28</v>
      </c>
      <c r="B30" s="47" t="s">
        <v>31</v>
      </c>
      <c r="C30" s="48">
        <v>52179.373500000002</v>
      </c>
      <c r="D30" s="49">
        <v>4.0000000000000002E-4</v>
      </c>
      <c r="E30" s="38">
        <f t="shared" si="0"/>
        <v>93.998592951033302</v>
      </c>
      <c r="F30" s="38">
        <f t="shared" si="1"/>
        <v>94</v>
      </c>
      <c r="G30" s="38">
        <f t="shared" si="4"/>
        <v>-4.9199999921256676E-4</v>
      </c>
      <c r="K30" s="38">
        <f t="shared" si="5"/>
        <v>-4.9199999921256676E-4</v>
      </c>
      <c r="O30" s="38">
        <f t="shared" ca="1" si="2"/>
        <v>1.4335687557609379E-3</v>
      </c>
      <c r="Q30" s="50">
        <f t="shared" si="3"/>
        <v>37160.873500000002</v>
      </c>
      <c r="R30" s="38" t="s">
        <v>54</v>
      </c>
    </row>
    <row r="31" spans="1:21" s="38" customFormat="1" ht="12.95" customHeight="1" x14ac:dyDescent="0.2">
      <c r="A31" s="38" t="s">
        <v>28</v>
      </c>
      <c r="B31" s="47" t="s">
        <v>30</v>
      </c>
      <c r="C31" s="48">
        <v>52181.297200000001</v>
      </c>
      <c r="D31" s="49">
        <v>1.4E-3</v>
      </c>
      <c r="E31" s="38">
        <f t="shared" si="0"/>
        <v>99.50009723509524</v>
      </c>
      <c r="F31" s="38">
        <f t="shared" si="1"/>
        <v>99.5</v>
      </c>
      <c r="G31" s="38">
        <f t="shared" si="4"/>
        <v>3.4000004234258085E-5</v>
      </c>
      <c r="K31" s="38">
        <f t="shared" si="5"/>
        <v>3.4000004234258085E-5</v>
      </c>
      <c r="O31" s="38">
        <f t="shared" ca="1" si="2"/>
        <v>1.4070426306409497E-3</v>
      </c>
      <c r="Q31" s="50">
        <f t="shared" si="3"/>
        <v>37162.797200000001</v>
      </c>
      <c r="R31" s="38" t="s">
        <v>54</v>
      </c>
    </row>
    <row r="32" spans="1:21" s="38" customFormat="1" ht="12.95" customHeight="1" x14ac:dyDescent="0.2">
      <c r="A32" s="38" t="s">
        <v>28</v>
      </c>
      <c r="B32" s="47" t="s">
        <v>31</v>
      </c>
      <c r="C32" s="48">
        <v>52181.472000000002</v>
      </c>
      <c r="D32" s="49">
        <v>2.2000000000000001E-3</v>
      </c>
      <c r="E32" s="38">
        <f t="shared" si="0"/>
        <v>100.00000000000563</v>
      </c>
      <c r="F32" s="38">
        <f t="shared" si="1"/>
        <v>100</v>
      </c>
      <c r="G32" s="38">
        <f t="shared" si="4"/>
        <v>0</v>
      </c>
      <c r="K32" s="38">
        <f t="shared" si="5"/>
        <v>0</v>
      </c>
      <c r="O32" s="38">
        <f t="shared" ca="1" si="2"/>
        <v>1.4046311647209508E-3</v>
      </c>
      <c r="Q32" s="50">
        <f t="shared" si="3"/>
        <v>37162.972000000002</v>
      </c>
      <c r="R32" s="38" t="s">
        <v>54</v>
      </c>
    </row>
    <row r="33" spans="1:21" s="38" customFormat="1" ht="12.95" customHeight="1" x14ac:dyDescent="0.2">
      <c r="A33" s="51" t="s">
        <v>28</v>
      </c>
      <c r="B33" s="52" t="s">
        <v>31</v>
      </c>
      <c r="C33" s="53">
        <v>52187.412799999998</v>
      </c>
      <c r="D33" s="54">
        <v>1.4E-3</v>
      </c>
      <c r="E33" s="38">
        <f t="shared" si="0"/>
        <v>116.98983035335988</v>
      </c>
      <c r="F33" s="38">
        <f t="shared" si="1"/>
        <v>117</v>
      </c>
      <c r="G33" s="38">
        <f t="shared" si="4"/>
        <v>-3.5560000033001415E-3</v>
      </c>
      <c r="K33" s="38">
        <f t="shared" si="5"/>
        <v>-3.5560000033001415E-3</v>
      </c>
      <c r="O33" s="38">
        <f t="shared" ca="1" si="2"/>
        <v>1.3226413234409876E-3</v>
      </c>
      <c r="Q33" s="50">
        <f t="shared" si="3"/>
        <v>37168.912799999998</v>
      </c>
      <c r="R33" s="38" t="s">
        <v>54</v>
      </c>
    </row>
    <row r="34" spans="1:21" s="38" customFormat="1" ht="12.95" customHeight="1" x14ac:dyDescent="0.2">
      <c r="A34" s="51" t="s">
        <v>33</v>
      </c>
      <c r="B34" s="52" t="s">
        <v>31</v>
      </c>
      <c r="C34" s="54">
        <v>52424.495000000003</v>
      </c>
      <c r="D34" s="54">
        <v>2E-3</v>
      </c>
      <c r="E34" s="38">
        <f t="shared" si="0"/>
        <v>795.01069586008168</v>
      </c>
      <c r="F34" s="38">
        <f t="shared" si="1"/>
        <v>795</v>
      </c>
      <c r="G34" s="38">
        <f t="shared" si="4"/>
        <v>3.7400000001071021E-3</v>
      </c>
      <c r="K34" s="38">
        <f t="shared" si="5"/>
        <v>3.7400000001071021E-3</v>
      </c>
      <c r="O34" s="38">
        <f t="shared" ca="1" si="2"/>
        <v>-1.9473064640775461E-3</v>
      </c>
      <c r="Q34" s="50">
        <f t="shared" si="3"/>
        <v>37405.995000000003</v>
      </c>
      <c r="R34" s="38" t="s">
        <v>54</v>
      </c>
    </row>
    <row r="35" spans="1:21" s="38" customFormat="1" ht="12.95" customHeight="1" x14ac:dyDescent="0.2">
      <c r="A35" s="51" t="s">
        <v>32</v>
      </c>
      <c r="B35" s="52" t="s">
        <v>31</v>
      </c>
      <c r="C35" s="54">
        <v>52717.511500000001</v>
      </c>
      <c r="D35" s="54">
        <v>2.5000000000000001E-3</v>
      </c>
      <c r="E35" s="38">
        <f t="shared" si="0"/>
        <v>1632.9955843829032</v>
      </c>
      <c r="F35" s="38">
        <f t="shared" si="1"/>
        <v>1633</v>
      </c>
      <c r="G35" s="38">
        <f t="shared" si="4"/>
        <v>-1.5439999988302588E-3</v>
      </c>
      <c r="I35" s="38">
        <f>+G35</f>
        <v>-1.5439999988302588E-3</v>
      </c>
      <c r="O35" s="38">
        <f t="shared" ca="1" si="2"/>
        <v>-5.988923345995734E-3</v>
      </c>
      <c r="Q35" s="50">
        <f t="shared" si="3"/>
        <v>37699.011500000001</v>
      </c>
      <c r="R35" s="38" t="s">
        <v>124</v>
      </c>
    </row>
    <row r="36" spans="1:21" s="38" customFormat="1" ht="12.95" customHeight="1" x14ac:dyDescent="0.2">
      <c r="A36" s="51" t="s">
        <v>34</v>
      </c>
      <c r="B36" s="52" t="s">
        <v>31</v>
      </c>
      <c r="C36" s="54">
        <v>53236.4084</v>
      </c>
      <c r="D36" s="54" t="s">
        <v>12</v>
      </c>
      <c r="E36" s="38">
        <f t="shared" si="0"/>
        <v>3116.9658075660363</v>
      </c>
      <c r="F36" s="38">
        <f t="shared" si="1"/>
        <v>3117</v>
      </c>
      <c r="G36" s="38">
        <f t="shared" si="4"/>
        <v>-1.1956000002101064E-2</v>
      </c>
      <c r="K36" s="38">
        <f>+G36</f>
        <v>-1.1956000002101064E-2</v>
      </c>
      <c r="O36" s="38">
        <f t="shared" ca="1" si="2"/>
        <v>-1.3146154196552523E-2</v>
      </c>
      <c r="Q36" s="50">
        <f t="shared" si="3"/>
        <v>38217.9084</v>
      </c>
      <c r="R36" s="38" t="s">
        <v>54</v>
      </c>
    </row>
    <row r="37" spans="1:21" s="38" customFormat="1" ht="12.95" customHeight="1" x14ac:dyDescent="0.2">
      <c r="A37" s="55" t="s">
        <v>34</v>
      </c>
      <c r="B37" s="56" t="s">
        <v>30</v>
      </c>
      <c r="C37" s="55">
        <v>53540.438000000002</v>
      </c>
      <c r="D37" s="55">
        <v>3.0000000000000001E-3</v>
      </c>
      <c r="E37" s="38">
        <f t="shared" si="0"/>
        <v>3986.4465721770434</v>
      </c>
      <c r="F37" s="38">
        <f t="shared" si="1"/>
        <v>3986.5</v>
      </c>
      <c r="G37" s="38">
        <f t="shared" si="4"/>
        <v>-1.8681999994441867E-2</v>
      </c>
      <c r="K37" s="38">
        <f>+G37</f>
        <v>-1.8681999994441867E-2</v>
      </c>
      <c r="O37" s="38">
        <f t="shared" ca="1" si="2"/>
        <v>-1.7339693431430644E-2</v>
      </c>
      <c r="Q37" s="50">
        <f t="shared" si="3"/>
        <v>38521.938000000002</v>
      </c>
      <c r="R37" s="38" t="s">
        <v>54</v>
      </c>
    </row>
    <row r="38" spans="1:21" s="38" customFormat="1" ht="12.95" customHeight="1" x14ac:dyDescent="0.2">
      <c r="A38" s="54" t="s">
        <v>37</v>
      </c>
      <c r="B38" s="52"/>
      <c r="C38" s="54">
        <v>53991.3318</v>
      </c>
      <c r="D38" s="54">
        <v>2.9999999999999997E-4</v>
      </c>
      <c r="E38" s="38">
        <f t="shared" si="0"/>
        <v>5275.9377466625501</v>
      </c>
      <c r="F38" s="38">
        <f t="shared" si="1"/>
        <v>5276</v>
      </c>
      <c r="G38" s="38">
        <f t="shared" si="4"/>
        <v>-2.1767999998701271E-2</v>
      </c>
      <c r="J38" s="38">
        <f>+G38</f>
        <v>-2.1767999998701271E-2</v>
      </c>
      <c r="O38" s="38">
        <f t="shared" ca="1" si="2"/>
        <v>-2.3558864039107855E-2</v>
      </c>
      <c r="Q38" s="50">
        <f t="shared" si="3"/>
        <v>38972.8318</v>
      </c>
      <c r="R38" s="38" t="s">
        <v>56</v>
      </c>
    </row>
    <row r="39" spans="1:21" s="38" customFormat="1" ht="12.95" customHeight="1" x14ac:dyDescent="0.2">
      <c r="A39" s="51" t="s">
        <v>35</v>
      </c>
      <c r="B39" s="52" t="s">
        <v>31</v>
      </c>
      <c r="C39" s="54">
        <v>54018.267999999996</v>
      </c>
      <c r="D39" s="54">
        <v>5.0000000000000001E-3</v>
      </c>
      <c r="E39" s="38">
        <f t="shared" si="0"/>
        <v>5352.9713900042234</v>
      </c>
      <c r="F39" s="38">
        <f t="shared" si="1"/>
        <v>5353</v>
      </c>
      <c r="O39" s="38">
        <f t="shared" ca="1" si="2"/>
        <v>-2.3930229790787686E-2</v>
      </c>
      <c r="Q39" s="50">
        <f t="shared" si="3"/>
        <v>38999.767999999996</v>
      </c>
      <c r="R39" s="38" t="s">
        <v>125</v>
      </c>
      <c r="U39" s="6">
        <v>-1.0004000003391411E-2</v>
      </c>
    </row>
    <row r="40" spans="1:21" s="38" customFormat="1" ht="12.95" customHeight="1" x14ac:dyDescent="0.2">
      <c r="A40" s="55" t="s">
        <v>35</v>
      </c>
      <c r="B40" s="57" t="s">
        <v>30</v>
      </c>
      <c r="C40" s="54">
        <v>54018.432000000001</v>
      </c>
      <c r="D40" s="54">
        <v>2E-3</v>
      </c>
      <c r="E40" s="38">
        <f t="shared" si="0"/>
        <v>5353.4404063282918</v>
      </c>
      <c r="F40" s="38">
        <f t="shared" si="1"/>
        <v>5353.5</v>
      </c>
      <c r="G40" s="38">
        <f>+C40-(C$7+F40*C$8)</f>
        <v>-2.0837999996729195E-2</v>
      </c>
      <c r="K40" s="38">
        <f>+G40</f>
        <v>-2.0837999996729195E-2</v>
      </c>
      <c r="O40" s="38">
        <f t="shared" ca="1" si="2"/>
        <v>-2.3932641256707687E-2</v>
      </c>
      <c r="Q40" s="50">
        <f t="shared" si="3"/>
        <v>38999.932000000001</v>
      </c>
      <c r="R40" s="38" t="s">
        <v>125</v>
      </c>
    </row>
    <row r="41" spans="1:21" s="38" customFormat="1" ht="12.95" customHeight="1" x14ac:dyDescent="0.2">
      <c r="A41" s="58" t="s">
        <v>44</v>
      </c>
      <c r="B41" s="57" t="s">
        <v>30</v>
      </c>
      <c r="C41" s="54">
        <v>54387.324500000002</v>
      </c>
      <c r="D41" s="54"/>
      <c r="E41" s="38">
        <f t="shared" si="0"/>
        <v>6408.4197009735035</v>
      </c>
      <c r="F41" s="38">
        <f t="shared" si="1"/>
        <v>6408.5</v>
      </c>
      <c r="G41" s="38">
        <f>+C41-(C$7+F41*C$8)</f>
        <v>-2.8077999995730352E-2</v>
      </c>
      <c r="J41" s="38">
        <f>+G41</f>
        <v>-2.8077999995730352E-2</v>
      </c>
      <c r="O41" s="38">
        <f t="shared" ca="1" si="2"/>
        <v>-2.9020834347905405E-2</v>
      </c>
      <c r="Q41" s="50">
        <f t="shared" si="3"/>
        <v>39368.824500000002</v>
      </c>
      <c r="R41" s="38" t="s">
        <v>56</v>
      </c>
    </row>
    <row r="42" spans="1:21" s="38" customFormat="1" ht="12.95" customHeight="1" x14ac:dyDescent="0.2">
      <c r="A42" s="55" t="s">
        <v>45</v>
      </c>
      <c r="B42" s="56" t="s">
        <v>31</v>
      </c>
      <c r="C42" s="55">
        <v>55104.311199999996</v>
      </c>
      <c r="D42" s="55">
        <v>1.1000000000000001E-3</v>
      </c>
      <c r="E42" s="38">
        <f t="shared" si="0"/>
        <v>8458.8981548211359</v>
      </c>
      <c r="F42" s="38">
        <f t="shared" si="1"/>
        <v>8459</v>
      </c>
      <c r="G42" s="38">
        <f>+C42-(C$7+F42*C$8)</f>
        <v>-3.5611999999673571E-2</v>
      </c>
      <c r="K42" s="38">
        <f>+G42</f>
        <v>-3.5611999999673571E-2</v>
      </c>
      <c r="O42" s="38">
        <f t="shared" ca="1" si="2"/>
        <v>-3.8910256085820966E-2</v>
      </c>
      <c r="Q42" s="50">
        <f t="shared" si="3"/>
        <v>40085.811199999996</v>
      </c>
      <c r="R42" s="38" t="s">
        <v>54</v>
      </c>
    </row>
    <row r="43" spans="1:21" s="38" customFormat="1" ht="12.95" customHeight="1" x14ac:dyDescent="0.2">
      <c r="A43" s="19" t="s">
        <v>50</v>
      </c>
      <c r="B43" s="19"/>
      <c r="C43" s="20">
        <v>55418.481299999999</v>
      </c>
      <c r="D43" s="20">
        <v>2.8E-3</v>
      </c>
      <c r="E43" s="38">
        <f t="shared" si="0"/>
        <v>9357.3792854936692</v>
      </c>
      <c r="F43" s="38">
        <f t="shared" si="1"/>
        <v>9357.5</v>
      </c>
      <c r="G43" s="38">
        <f>+C43-(C$7+F43*C$8)</f>
        <v>-4.2209999999613501E-2</v>
      </c>
      <c r="J43" s="38">
        <f>+G43</f>
        <v>-4.2209999999613501E-2</v>
      </c>
      <c r="O43" s="38">
        <f t="shared" ca="1" si="2"/>
        <v>-4.3243660344059021E-2</v>
      </c>
      <c r="Q43" s="50">
        <f t="shared" si="3"/>
        <v>40399.981299999999</v>
      </c>
      <c r="R43" s="38" t="s">
        <v>56</v>
      </c>
    </row>
    <row r="44" spans="1:21" s="38" customFormat="1" ht="12.95" customHeight="1" x14ac:dyDescent="0.2">
      <c r="A44" s="55" t="s">
        <v>48</v>
      </c>
      <c r="B44" s="56" t="s">
        <v>30</v>
      </c>
      <c r="C44" s="55">
        <v>55674.434000000001</v>
      </c>
      <c r="D44" s="55">
        <v>1.5E-3</v>
      </c>
      <c r="E44" s="38">
        <f t="shared" si="0"/>
        <v>10089.36705675098</v>
      </c>
      <c r="F44" s="38">
        <f t="shared" si="1"/>
        <v>10089.5</v>
      </c>
      <c r="G44" s="38">
        <f>+C44-(C$7+F44*C$8)</f>
        <v>-4.6485999999276828E-2</v>
      </c>
      <c r="J44" s="38">
        <f>+G44</f>
        <v>-4.6485999999276828E-2</v>
      </c>
      <c r="O44" s="38">
        <f t="shared" ca="1" si="2"/>
        <v>-4.677404645093744E-2</v>
      </c>
      <c r="Q44" s="50">
        <f t="shared" si="3"/>
        <v>40655.934000000001</v>
      </c>
      <c r="R44" s="38" t="s">
        <v>56</v>
      </c>
    </row>
    <row r="45" spans="1:21" s="38" customFormat="1" ht="12.95" customHeight="1" x14ac:dyDescent="0.2">
      <c r="A45" s="36" t="s">
        <v>107</v>
      </c>
      <c r="B45" s="36" t="s">
        <v>31</v>
      </c>
      <c r="C45" s="59">
        <v>55832.304499999998</v>
      </c>
      <c r="D45" s="59" t="s">
        <v>62</v>
      </c>
    </row>
    <row r="46" spans="1:21" s="38" customFormat="1" ht="12.95" customHeight="1" x14ac:dyDescent="0.2">
      <c r="A46" s="17" t="s">
        <v>49</v>
      </c>
      <c r="B46" s="18" t="s">
        <v>30</v>
      </c>
      <c r="C46" s="17">
        <v>56089.834799999997</v>
      </c>
      <c r="D46" s="17">
        <v>8.9999999999999998E-4</v>
      </c>
      <c r="E46" s="38">
        <f>+(C46-C$7)/C$8</f>
        <v>11277.353375201612</v>
      </c>
      <c r="F46" s="38">
        <f>ROUND(2*E46,0)/2</f>
        <v>11277.5</v>
      </c>
      <c r="G46" s="38">
        <f>+C46-(C$7+F46*C$8)</f>
        <v>-5.1270000003569294E-2</v>
      </c>
      <c r="K46" s="38">
        <f>+G46</f>
        <v>-5.1270000003569294E-2</v>
      </c>
      <c r="O46" s="38">
        <f ca="1">+C$11+C$12*$F46</f>
        <v>-5.2503689476854867E-2</v>
      </c>
      <c r="Q46" s="50">
        <f>+C46-15018.5</f>
        <v>41071.334799999997</v>
      </c>
      <c r="R46" s="38" t="s">
        <v>54</v>
      </c>
    </row>
    <row r="47" spans="1:21" s="38" customFormat="1" ht="12.95" customHeight="1" x14ac:dyDescent="0.2">
      <c r="A47" s="21" t="s">
        <v>51</v>
      </c>
      <c r="B47" s="22"/>
      <c r="C47" s="21">
        <v>56933.394699999997</v>
      </c>
      <c r="D47" s="21">
        <v>2.3E-3</v>
      </c>
      <c r="E47" s="38">
        <f>+(C47-C$7)/C$8</f>
        <v>13689.812908244385</v>
      </c>
      <c r="F47" s="38">
        <f>ROUND(2*E47,0)/2</f>
        <v>13690</v>
      </c>
      <c r="G47" s="38">
        <f>+C47-(C$7+F47*C$8)</f>
        <v>-6.5420000006270129E-2</v>
      </c>
      <c r="J47" s="38">
        <f>+G47</f>
        <v>-6.5420000006270129E-2</v>
      </c>
      <c r="O47" s="38">
        <f ca="1">+C$11+C$12*$F47</f>
        <v>-6.4139012540849652E-2</v>
      </c>
      <c r="Q47" s="50">
        <f>+C47-15018.5</f>
        <v>41914.894699999997</v>
      </c>
      <c r="R47" s="38" t="s">
        <v>56</v>
      </c>
    </row>
    <row r="48" spans="1:21" s="38" customFormat="1" ht="12.95" customHeight="1" x14ac:dyDescent="0.2">
      <c r="A48" s="21" t="s">
        <v>51</v>
      </c>
      <c r="B48" s="22"/>
      <c r="C48" s="21">
        <v>56933.5651</v>
      </c>
      <c r="D48" s="21">
        <v>2.8E-3</v>
      </c>
      <c r="E48" s="38">
        <f>+(C48-C$7)/C$8</f>
        <v>13690.30022764451</v>
      </c>
      <c r="F48" s="38">
        <f>ROUND(2*E48,0)/2</f>
        <v>13690.5</v>
      </c>
      <c r="G48" s="38">
        <f>+C48-(C$7+F48*C$8)</f>
        <v>-6.9854000001214445E-2</v>
      </c>
      <c r="K48" s="38">
        <f>+G48</f>
        <v>-6.9854000001214445E-2</v>
      </c>
      <c r="O48" s="38">
        <f ca="1">+C$11+C$12*$F48</f>
        <v>-6.4141424006769657E-2</v>
      </c>
      <c r="Q48" s="50">
        <f>+C48-15018.5</f>
        <v>41915.0651</v>
      </c>
    </row>
    <row r="49" spans="3:4" s="38" customFormat="1" ht="12.95" customHeight="1" x14ac:dyDescent="0.2">
      <c r="C49" s="49"/>
      <c r="D49" s="49"/>
    </row>
    <row r="50" spans="3:4" s="38" customFormat="1" ht="12.95" customHeight="1" x14ac:dyDescent="0.2">
      <c r="C50" s="49"/>
      <c r="D50" s="49"/>
    </row>
    <row r="51" spans="3:4" s="38" customFormat="1" ht="12.95" customHeight="1" x14ac:dyDescent="0.2">
      <c r="C51" s="49"/>
      <c r="D51" s="49"/>
    </row>
    <row r="52" spans="3:4" s="38" customFormat="1" ht="12.95" customHeight="1" x14ac:dyDescent="0.2">
      <c r="C52" s="49"/>
      <c r="D52" s="49"/>
    </row>
    <row r="53" spans="3:4" s="38" customFormat="1" ht="12.95" customHeight="1" x14ac:dyDescent="0.2">
      <c r="C53" s="49"/>
      <c r="D53" s="49"/>
    </row>
    <row r="54" spans="3:4" s="38" customFormat="1" ht="12.95" customHeight="1" x14ac:dyDescent="0.2">
      <c r="C54" s="49"/>
      <c r="D54" s="49"/>
    </row>
    <row r="55" spans="3:4" s="38" customFormat="1" ht="12.95" customHeight="1" x14ac:dyDescent="0.2">
      <c r="C55" s="49"/>
      <c r="D55" s="49"/>
    </row>
    <row r="56" spans="3:4" s="38" customFormat="1" ht="12.95" customHeight="1" x14ac:dyDescent="0.2">
      <c r="C56" s="49"/>
      <c r="D56" s="49"/>
    </row>
    <row r="57" spans="3:4" s="38" customFormat="1" ht="12.95" customHeight="1" x14ac:dyDescent="0.2">
      <c r="C57" s="49"/>
      <c r="D57" s="49"/>
    </row>
    <row r="58" spans="3:4" s="38" customFormat="1" ht="12.95" customHeight="1" x14ac:dyDescent="0.2">
      <c r="C58" s="49"/>
      <c r="D58" s="49"/>
    </row>
    <row r="59" spans="3:4" s="38" customFormat="1" ht="12.95" customHeight="1" x14ac:dyDescent="0.2">
      <c r="C59" s="49"/>
      <c r="D59" s="49"/>
    </row>
    <row r="60" spans="3:4" s="38" customFormat="1" ht="12.95" customHeight="1" x14ac:dyDescent="0.2">
      <c r="C60" s="49"/>
      <c r="D60" s="49"/>
    </row>
    <row r="61" spans="3:4" s="38" customFormat="1" ht="12.95" customHeight="1" x14ac:dyDescent="0.2">
      <c r="C61" s="49"/>
      <c r="D61" s="49"/>
    </row>
    <row r="62" spans="3:4" s="38" customFormat="1" ht="12.95" customHeight="1" x14ac:dyDescent="0.2">
      <c r="C62" s="49"/>
      <c r="D62" s="49"/>
    </row>
    <row r="63" spans="3:4" s="38" customFormat="1" ht="12.95" customHeight="1" x14ac:dyDescent="0.2">
      <c r="C63" s="49"/>
      <c r="D63" s="49"/>
    </row>
    <row r="64" spans="3:4" s="38" customFormat="1" ht="12.95" customHeight="1" x14ac:dyDescent="0.2">
      <c r="C64" s="49"/>
      <c r="D64" s="49"/>
    </row>
    <row r="65" spans="3:4" s="38" customFormat="1" ht="12.95" customHeight="1" x14ac:dyDescent="0.2">
      <c r="C65" s="49"/>
      <c r="D65" s="49"/>
    </row>
    <row r="66" spans="3:4" s="38" customFormat="1" ht="12.95" customHeight="1" x14ac:dyDescent="0.2">
      <c r="C66" s="49"/>
      <c r="D66" s="49"/>
    </row>
    <row r="67" spans="3:4" s="38" customFormat="1" ht="12.95" customHeight="1" x14ac:dyDescent="0.2">
      <c r="C67" s="49"/>
      <c r="D67" s="49"/>
    </row>
    <row r="68" spans="3:4" s="38" customFormat="1" ht="12.95" customHeight="1" x14ac:dyDescent="0.2">
      <c r="C68" s="49"/>
      <c r="D68" s="49"/>
    </row>
    <row r="69" spans="3:4" s="38" customFormat="1" ht="12.95" customHeight="1" x14ac:dyDescent="0.2">
      <c r="C69" s="49"/>
      <c r="D69" s="49"/>
    </row>
    <row r="70" spans="3:4" s="38" customFormat="1" ht="12.95" customHeight="1" x14ac:dyDescent="0.2">
      <c r="C70" s="49"/>
      <c r="D70" s="49"/>
    </row>
    <row r="71" spans="3:4" s="38" customFormat="1" ht="12.95" customHeight="1" x14ac:dyDescent="0.2">
      <c r="C71" s="49"/>
      <c r="D71" s="49"/>
    </row>
    <row r="72" spans="3:4" s="38" customFormat="1" ht="12.95" customHeight="1" x14ac:dyDescent="0.2">
      <c r="C72" s="49"/>
      <c r="D72" s="49"/>
    </row>
    <row r="73" spans="3:4" s="38" customFormat="1" ht="12.95" customHeight="1" x14ac:dyDescent="0.2">
      <c r="C73" s="49"/>
      <c r="D73" s="49"/>
    </row>
    <row r="74" spans="3:4" s="38" customFormat="1" ht="12.95" customHeight="1" x14ac:dyDescent="0.2">
      <c r="C74" s="49"/>
      <c r="D74" s="49"/>
    </row>
    <row r="75" spans="3:4" s="38" customFormat="1" ht="12.95" customHeight="1" x14ac:dyDescent="0.2">
      <c r="C75" s="49"/>
      <c r="D75" s="49"/>
    </row>
    <row r="76" spans="3:4" s="38" customFormat="1" ht="12.95" customHeight="1" x14ac:dyDescent="0.2">
      <c r="C76" s="49"/>
      <c r="D76" s="49"/>
    </row>
    <row r="77" spans="3:4" s="38" customFormat="1" ht="12.95" customHeight="1" x14ac:dyDescent="0.2">
      <c r="C77" s="49"/>
      <c r="D77" s="49"/>
    </row>
    <row r="78" spans="3:4" s="38" customFormat="1" ht="12.95" customHeight="1" x14ac:dyDescent="0.2">
      <c r="C78" s="49"/>
      <c r="D78" s="49"/>
    </row>
    <row r="79" spans="3:4" s="38" customFormat="1" ht="12.95" customHeight="1" x14ac:dyDescent="0.2">
      <c r="C79" s="49"/>
      <c r="D79" s="49"/>
    </row>
    <row r="80" spans="3:4" s="38" customFormat="1" ht="12.95" customHeight="1" x14ac:dyDescent="0.2">
      <c r="C80" s="49"/>
      <c r="D80" s="49"/>
    </row>
    <row r="81" spans="3:4" s="38" customFormat="1" ht="12.95" customHeight="1" x14ac:dyDescent="0.2">
      <c r="C81" s="49"/>
      <c r="D81" s="49"/>
    </row>
    <row r="82" spans="3:4" s="38" customFormat="1" ht="12.95" customHeight="1" x14ac:dyDescent="0.2">
      <c r="C82" s="49"/>
      <c r="D82" s="49"/>
    </row>
    <row r="83" spans="3:4" s="38" customFormat="1" ht="12.95" customHeight="1" x14ac:dyDescent="0.2">
      <c r="C83" s="49"/>
      <c r="D83" s="49"/>
    </row>
    <row r="84" spans="3:4" s="38" customFormat="1" ht="12.95" customHeight="1" x14ac:dyDescent="0.2">
      <c r="C84" s="49"/>
      <c r="D84" s="49"/>
    </row>
    <row r="85" spans="3:4" s="38" customFormat="1" ht="12.95" customHeight="1" x14ac:dyDescent="0.2">
      <c r="C85" s="49"/>
      <c r="D85" s="49"/>
    </row>
    <row r="86" spans="3:4" s="38" customFormat="1" ht="12.95" customHeight="1" x14ac:dyDescent="0.2">
      <c r="C86" s="49"/>
      <c r="D86" s="49"/>
    </row>
    <row r="87" spans="3:4" s="38" customFormat="1" ht="12.95" customHeight="1" x14ac:dyDescent="0.2">
      <c r="C87" s="49"/>
      <c r="D87" s="49"/>
    </row>
    <row r="88" spans="3:4" s="38" customFormat="1" ht="12.95" customHeight="1" x14ac:dyDescent="0.2">
      <c r="C88" s="49"/>
      <c r="D88" s="49"/>
    </row>
    <row r="89" spans="3:4" s="38" customFormat="1" ht="12.95" customHeight="1" x14ac:dyDescent="0.2">
      <c r="C89" s="49"/>
      <c r="D89" s="49"/>
    </row>
    <row r="90" spans="3:4" s="38" customFormat="1" ht="12.95" customHeight="1" x14ac:dyDescent="0.2">
      <c r="C90" s="49"/>
      <c r="D90" s="49"/>
    </row>
    <row r="91" spans="3:4" s="38" customFormat="1" ht="12.95" customHeight="1" x14ac:dyDescent="0.2">
      <c r="C91" s="49"/>
      <c r="D91" s="49"/>
    </row>
    <row r="92" spans="3:4" s="38" customFormat="1" ht="12.95" customHeight="1" x14ac:dyDescent="0.2">
      <c r="C92" s="49"/>
      <c r="D92" s="49"/>
    </row>
    <row r="93" spans="3:4" s="38" customFormat="1" ht="12.95" customHeight="1" x14ac:dyDescent="0.2">
      <c r="C93" s="49"/>
      <c r="D93" s="49"/>
    </row>
    <row r="94" spans="3:4" s="38" customFormat="1" ht="12.95" customHeight="1" x14ac:dyDescent="0.2">
      <c r="C94" s="49"/>
      <c r="D94" s="49"/>
    </row>
    <row r="95" spans="3:4" s="38" customFormat="1" ht="12.95" customHeight="1" x14ac:dyDescent="0.2">
      <c r="C95" s="49"/>
      <c r="D95" s="49"/>
    </row>
    <row r="96" spans="3:4" s="38" customFormat="1" ht="12.95" customHeight="1" x14ac:dyDescent="0.2">
      <c r="C96" s="49"/>
      <c r="D96" s="49"/>
    </row>
    <row r="97" spans="3:4" s="38" customFormat="1" ht="12.95" customHeight="1" x14ac:dyDescent="0.2">
      <c r="C97" s="49"/>
      <c r="D97" s="49"/>
    </row>
    <row r="98" spans="3:4" s="38" customFormat="1" ht="12.95" customHeight="1" x14ac:dyDescent="0.2">
      <c r="C98" s="49"/>
      <c r="D98" s="49"/>
    </row>
    <row r="99" spans="3:4" s="38" customFormat="1" ht="12.95" customHeight="1" x14ac:dyDescent="0.2">
      <c r="C99" s="49"/>
      <c r="D99" s="49"/>
    </row>
    <row r="100" spans="3:4" s="38" customFormat="1" ht="12.95" customHeight="1" x14ac:dyDescent="0.2">
      <c r="C100" s="49"/>
      <c r="D100" s="49"/>
    </row>
    <row r="101" spans="3:4" s="38" customFormat="1" ht="12.95" customHeight="1" x14ac:dyDescent="0.2">
      <c r="C101" s="49"/>
      <c r="D101" s="49"/>
    </row>
    <row r="102" spans="3:4" s="38" customFormat="1" ht="12.95" customHeight="1" x14ac:dyDescent="0.2">
      <c r="C102" s="49"/>
      <c r="D102" s="49"/>
    </row>
    <row r="103" spans="3:4" s="38" customFormat="1" ht="12.95" customHeight="1" x14ac:dyDescent="0.2">
      <c r="C103" s="49"/>
      <c r="D103" s="49"/>
    </row>
    <row r="104" spans="3:4" s="38" customFormat="1" ht="12.95" customHeight="1" x14ac:dyDescent="0.2">
      <c r="C104" s="49"/>
      <c r="D104" s="49"/>
    </row>
    <row r="105" spans="3:4" s="38" customFormat="1" ht="12.95" customHeight="1" x14ac:dyDescent="0.2">
      <c r="C105" s="49"/>
      <c r="D105" s="49"/>
    </row>
    <row r="106" spans="3:4" s="38" customFormat="1" ht="12.95" customHeight="1" x14ac:dyDescent="0.2">
      <c r="C106" s="49"/>
      <c r="D106" s="49"/>
    </row>
    <row r="107" spans="3:4" s="38" customFormat="1" ht="12.95" customHeight="1" x14ac:dyDescent="0.2">
      <c r="C107" s="49"/>
      <c r="D107" s="49"/>
    </row>
    <row r="108" spans="3:4" s="38" customFormat="1" ht="12.95" customHeight="1" x14ac:dyDescent="0.2">
      <c r="C108" s="49"/>
      <c r="D108" s="49"/>
    </row>
    <row r="109" spans="3:4" s="38" customFormat="1" ht="12.95" customHeight="1" x14ac:dyDescent="0.2">
      <c r="C109" s="49"/>
      <c r="D109" s="49"/>
    </row>
    <row r="110" spans="3:4" s="38" customFormat="1" ht="12.95" customHeight="1" x14ac:dyDescent="0.2">
      <c r="C110" s="49"/>
      <c r="D110" s="49"/>
    </row>
    <row r="111" spans="3:4" s="38" customFormat="1" ht="12.95" customHeight="1" x14ac:dyDescent="0.2">
      <c r="C111" s="49"/>
      <c r="D111" s="49"/>
    </row>
    <row r="112" spans="3:4" s="38" customFormat="1" ht="12.95" customHeight="1" x14ac:dyDescent="0.2">
      <c r="C112" s="49"/>
      <c r="D112" s="49"/>
    </row>
    <row r="113" spans="3:4" s="38" customFormat="1" ht="12.95" customHeight="1" x14ac:dyDescent="0.2">
      <c r="C113" s="49"/>
      <c r="D113" s="49"/>
    </row>
    <row r="114" spans="3:4" s="38" customFormat="1" ht="12.95" customHeight="1" x14ac:dyDescent="0.2">
      <c r="C114" s="49"/>
      <c r="D114" s="49"/>
    </row>
    <row r="115" spans="3:4" s="38" customFormat="1" ht="12.95" customHeight="1" x14ac:dyDescent="0.2">
      <c r="C115" s="49"/>
      <c r="D115" s="49"/>
    </row>
    <row r="116" spans="3:4" s="38" customFormat="1" ht="12.95" customHeight="1" x14ac:dyDescent="0.2">
      <c r="C116" s="49"/>
      <c r="D116" s="49"/>
    </row>
    <row r="117" spans="3:4" s="38" customFormat="1" ht="12.95" customHeight="1" x14ac:dyDescent="0.2">
      <c r="C117" s="49"/>
      <c r="D117" s="49"/>
    </row>
    <row r="118" spans="3:4" s="38" customFormat="1" ht="12.95" customHeight="1" x14ac:dyDescent="0.2">
      <c r="C118" s="49"/>
      <c r="D118" s="49"/>
    </row>
    <row r="119" spans="3:4" s="38" customFormat="1" ht="12.95" customHeight="1" x14ac:dyDescent="0.2">
      <c r="C119" s="49"/>
      <c r="D119" s="49"/>
    </row>
    <row r="120" spans="3:4" s="38" customFormat="1" ht="12.95" customHeight="1" x14ac:dyDescent="0.2">
      <c r="C120" s="49"/>
      <c r="D120" s="49"/>
    </row>
    <row r="121" spans="3:4" s="38" customFormat="1" ht="12.95" customHeight="1" x14ac:dyDescent="0.2">
      <c r="C121" s="49"/>
      <c r="D121" s="49"/>
    </row>
    <row r="122" spans="3:4" s="38" customFormat="1" ht="12.95" customHeight="1" x14ac:dyDescent="0.2">
      <c r="C122" s="49"/>
      <c r="D122" s="49"/>
    </row>
    <row r="123" spans="3:4" s="38" customFormat="1" ht="12.95" customHeight="1" x14ac:dyDescent="0.2">
      <c r="C123" s="49"/>
      <c r="D123" s="49"/>
    </row>
    <row r="124" spans="3:4" s="38" customFormat="1" ht="12.95" customHeight="1" x14ac:dyDescent="0.2">
      <c r="C124" s="49"/>
      <c r="D124" s="49"/>
    </row>
    <row r="125" spans="3:4" s="38" customFormat="1" ht="12.95" customHeight="1" x14ac:dyDescent="0.2">
      <c r="C125" s="49"/>
      <c r="D125" s="49"/>
    </row>
    <row r="126" spans="3:4" s="38" customFormat="1" ht="12.95" customHeight="1" x14ac:dyDescent="0.2">
      <c r="C126" s="49"/>
      <c r="D126" s="49"/>
    </row>
    <row r="127" spans="3:4" s="38" customFormat="1" ht="12.95" customHeight="1" x14ac:dyDescent="0.2">
      <c r="C127" s="49"/>
      <c r="D127" s="49"/>
    </row>
    <row r="128" spans="3:4" s="38" customFormat="1" ht="12.95" customHeight="1" x14ac:dyDescent="0.2">
      <c r="C128" s="49"/>
      <c r="D128" s="49"/>
    </row>
    <row r="129" spans="3:4" s="38" customFormat="1" ht="12.95" customHeight="1" x14ac:dyDescent="0.2">
      <c r="C129" s="49"/>
      <c r="D129" s="49"/>
    </row>
    <row r="130" spans="3:4" s="38" customFormat="1" ht="12.95" customHeight="1" x14ac:dyDescent="0.2">
      <c r="C130" s="49"/>
      <c r="D130" s="49"/>
    </row>
    <row r="131" spans="3:4" s="38" customFormat="1" ht="12.95" customHeight="1" x14ac:dyDescent="0.2">
      <c r="C131" s="49"/>
      <c r="D131" s="49"/>
    </row>
    <row r="132" spans="3:4" s="38" customFormat="1" ht="12.95" customHeight="1" x14ac:dyDescent="0.2">
      <c r="C132" s="49"/>
      <c r="D132" s="49"/>
    </row>
    <row r="133" spans="3:4" s="38" customFormat="1" ht="12.95" customHeight="1" x14ac:dyDescent="0.2">
      <c r="C133" s="49"/>
      <c r="D133" s="49"/>
    </row>
    <row r="134" spans="3:4" s="38" customFormat="1" ht="12.95" customHeight="1" x14ac:dyDescent="0.2">
      <c r="C134" s="49"/>
      <c r="D134" s="49"/>
    </row>
    <row r="135" spans="3:4" s="38" customFormat="1" ht="12.95" customHeight="1" x14ac:dyDescent="0.2">
      <c r="C135" s="49"/>
      <c r="D135" s="49"/>
    </row>
    <row r="136" spans="3:4" s="38" customFormat="1" ht="12.95" customHeight="1" x14ac:dyDescent="0.2">
      <c r="C136" s="49"/>
      <c r="D136" s="49"/>
    </row>
    <row r="137" spans="3:4" s="38" customFormat="1" ht="12.95" customHeight="1" x14ac:dyDescent="0.2">
      <c r="C137" s="49"/>
      <c r="D137" s="49"/>
    </row>
    <row r="138" spans="3:4" s="38" customFormat="1" ht="12.95" customHeight="1" x14ac:dyDescent="0.2"/>
    <row r="139" spans="3:4" s="38" customFormat="1" ht="12.95" customHeight="1" x14ac:dyDescent="0.2"/>
    <row r="140" spans="3:4" s="38" customFormat="1" ht="12.95" customHeight="1" x14ac:dyDescent="0.2"/>
    <row r="141" spans="3:4" s="38" customFormat="1" ht="12.95" customHeight="1" x14ac:dyDescent="0.2"/>
    <row r="142" spans="3:4" s="38" customFormat="1" ht="12.95" customHeight="1" x14ac:dyDescent="0.2"/>
    <row r="143" spans="3:4" s="38" customFormat="1" ht="12.95" customHeight="1" x14ac:dyDescent="0.2"/>
    <row r="144" spans="3:4" s="38" customFormat="1" ht="12.95" customHeight="1" x14ac:dyDescent="0.2"/>
    <row r="145" s="38" customFormat="1" ht="12.95" customHeight="1" x14ac:dyDescent="0.2"/>
    <row r="146" s="38" customFormat="1" ht="12.95" customHeight="1" x14ac:dyDescent="0.2"/>
    <row r="147" s="38" customFormat="1" ht="12.95" customHeight="1" x14ac:dyDescent="0.2"/>
    <row r="148" s="38" customFormat="1" ht="12.95" customHeight="1" x14ac:dyDescent="0.2"/>
    <row r="149" s="38" customFormat="1" ht="12.95" customHeight="1" x14ac:dyDescent="0.2"/>
    <row r="150" s="38" customFormat="1" ht="12.95" customHeight="1" x14ac:dyDescent="0.2"/>
    <row r="151" s="38" customFormat="1" ht="12.95" customHeight="1" x14ac:dyDescent="0.2"/>
    <row r="152" s="38" customFormat="1" ht="12.95" customHeight="1" x14ac:dyDescent="0.2"/>
    <row r="153" s="38" customFormat="1" ht="12.95" customHeight="1" x14ac:dyDescent="0.2"/>
    <row r="154" s="38" customFormat="1" ht="12.95" customHeight="1" x14ac:dyDescent="0.2"/>
    <row r="155" s="38" customFormat="1" ht="12.95" customHeight="1" x14ac:dyDescent="0.2"/>
    <row r="156" s="38" customFormat="1" ht="12.95" customHeight="1" x14ac:dyDescent="0.2"/>
    <row r="157" s="38" customFormat="1" ht="12.95" customHeight="1" x14ac:dyDescent="0.2"/>
    <row r="158" s="38" customFormat="1" ht="12.95" customHeight="1" x14ac:dyDescent="0.2"/>
    <row r="159" s="38" customFormat="1" ht="12.95" customHeight="1" x14ac:dyDescent="0.2"/>
    <row r="160" s="38" customFormat="1" ht="12.95" customHeight="1" x14ac:dyDescent="0.2"/>
    <row r="161" s="38" customFormat="1" ht="12.95" customHeight="1" x14ac:dyDescent="0.2"/>
    <row r="162" s="38" customFormat="1" ht="12.95" customHeight="1" x14ac:dyDescent="0.2"/>
    <row r="163" s="38" customFormat="1" ht="12.95" customHeight="1" x14ac:dyDescent="0.2"/>
    <row r="164" s="38" customFormat="1" ht="12.95" customHeight="1" x14ac:dyDescent="0.2"/>
    <row r="165" s="38" customFormat="1" ht="12.95" customHeight="1" x14ac:dyDescent="0.2"/>
    <row r="166" s="38" customFormat="1" ht="12.95" customHeight="1" x14ac:dyDescent="0.2"/>
    <row r="167" s="38" customFormat="1" ht="12.95" customHeight="1" x14ac:dyDescent="0.2"/>
    <row r="168" s="38" customFormat="1" ht="12.95" customHeight="1" x14ac:dyDescent="0.2"/>
    <row r="169" s="38" customFormat="1" ht="12.95" customHeight="1" x14ac:dyDescent="0.2"/>
    <row r="170" s="38" customFormat="1" ht="12.95" customHeight="1" x14ac:dyDescent="0.2"/>
    <row r="171" s="38" customFormat="1" ht="12.95" customHeight="1" x14ac:dyDescent="0.2"/>
    <row r="172" s="38" customFormat="1" ht="12.95" customHeight="1" x14ac:dyDescent="0.2"/>
    <row r="173" s="38" customFormat="1" ht="12.95" customHeight="1" x14ac:dyDescent="0.2"/>
    <row r="174" s="38" customFormat="1" ht="12.95" customHeight="1" x14ac:dyDescent="0.2"/>
    <row r="175" s="38" customFormat="1" ht="12.95" customHeight="1" x14ac:dyDescent="0.2"/>
    <row r="176" s="38" customFormat="1" ht="12.95" customHeight="1" x14ac:dyDescent="0.2"/>
    <row r="177" s="38" customFormat="1" ht="12.95" customHeight="1" x14ac:dyDescent="0.2"/>
    <row r="178" s="38" customFormat="1" ht="12.95" customHeight="1" x14ac:dyDescent="0.2"/>
    <row r="179" s="38" customFormat="1" ht="12.95" customHeight="1" x14ac:dyDescent="0.2"/>
    <row r="180" s="38" customFormat="1" ht="12.95" customHeight="1" x14ac:dyDescent="0.2"/>
    <row r="181" s="38" customFormat="1" ht="12.95" customHeight="1" x14ac:dyDescent="0.2"/>
    <row r="182" s="38" customFormat="1" ht="12.95" customHeight="1" x14ac:dyDescent="0.2"/>
    <row r="183" s="38" customFormat="1" ht="12.95" customHeight="1" x14ac:dyDescent="0.2"/>
    <row r="184" s="38" customFormat="1" ht="12.95" customHeight="1" x14ac:dyDescent="0.2"/>
    <row r="185" s="38" customFormat="1" ht="12.95" customHeight="1" x14ac:dyDescent="0.2"/>
    <row r="186" s="38" customFormat="1" ht="12.95" customHeight="1" x14ac:dyDescent="0.2"/>
    <row r="187" s="38" customFormat="1" ht="12.95" customHeight="1" x14ac:dyDescent="0.2"/>
    <row r="188" s="38" customFormat="1" ht="12.95" customHeight="1" x14ac:dyDescent="0.2"/>
    <row r="189" s="38" customFormat="1" ht="12.95" customHeight="1" x14ac:dyDescent="0.2"/>
    <row r="190" s="38" customFormat="1" ht="12.95" customHeight="1" x14ac:dyDescent="0.2"/>
    <row r="191" s="38" customFormat="1" ht="12.95" customHeight="1" x14ac:dyDescent="0.2"/>
    <row r="192" s="38" customFormat="1" ht="12.95" customHeight="1" x14ac:dyDescent="0.2"/>
    <row r="193" s="38" customFormat="1" ht="12.95" customHeight="1" x14ac:dyDescent="0.2"/>
    <row r="194" s="38" customFormat="1" ht="12.95" customHeight="1" x14ac:dyDescent="0.2"/>
    <row r="195" s="38" customFormat="1" ht="12.95" customHeight="1" x14ac:dyDescent="0.2"/>
    <row r="196" s="38" customFormat="1" ht="12.95" customHeight="1" x14ac:dyDescent="0.2"/>
    <row r="197" s="38" customFormat="1" ht="12.95" customHeight="1" x14ac:dyDescent="0.2"/>
    <row r="198" s="38" customFormat="1" ht="12.95" customHeight="1" x14ac:dyDescent="0.2"/>
    <row r="199" s="38" customFormat="1" ht="12.95" customHeight="1" x14ac:dyDescent="0.2"/>
    <row r="200" s="38" customFormat="1" ht="12.95" customHeight="1" x14ac:dyDescent="0.2"/>
    <row r="201" s="38" customFormat="1" ht="12.95" customHeight="1" x14ac:dyDescent="0.2"/>
    <row r="202" s="38" customFormat="1" ht="12.95" customHeight="1" x14ac:dyDescent="0.2"/>
    <row r="203" s="38" customFormat="1" ht="12.95" customHeight="1" x14ac:dyDescent="0.2"/>
    <row r="204" s="38" customFormat="1" ht="12.95" customHeight="1" x14ac:dyDescent="0.2"/>
    <row r="205" s="38" customFormat="1" ht="12.95" customHeight="1" x14ac:dyDescent="0.2"/>
    <row r="206" s="38" customFormat="1" ht="12.95" customHeight="1" x14ac:dyDescent="0.2"/>
    <row r="207" s="38" customFormat="1" ht="12.95" customHeight="1" x14ac:dyDescent="0.2"/>
    <row r="208" s="38" customFormat="1" ht="12.95" customHeight="1" x14ac:dyDescent="0.2"/>
    <row r="209" s="38" customFormat="1" ht="12.95" customHeight="1" x14ac:dyDescent="0.2"/>
    <row r="210" s="38" customFormat="1" ht="12.95" customHeight="1" x14ac:dyDescent="0.2"/>
    <row r="211" s="38" customFormat="1" ht="12.95" customHeight="1" x14ac:dyDescent="0.2"/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1"/>
  <sheetViews>
    <sheetView workbookViewId="0">
      <selection activeCell="A21" sqref="A21:D21"/>
    </sheetView>
  </sheetViews>
  <sheetFormatPr defaultRowHeight="12.75" x14ac:dyDescent="0.2"/>
  <cols>
    <col min="1" max="1" width="19.7109375" style="4" customWidth="1"/>
    <col min="2" max="2" width="4.42578125" style="8" customWidth="1"/>
    <col min="3" max="3" width="12.7109375" style="4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4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23" t="s">
        <v>52</v>
      </c>
      <c r="I1" s="24" t="s">
        <v>53</v>
      </c>
      <c r="J1" s="25" t="s">
        <v>54</v>
      </c>
    </row>
    <row r="2" spans="1:16" x14ac:dyDescent="0.2">
      <c r="I2" s="26" t="s">
        <v>55</v>
      </c>
      <c r="J2" s="27" t="s">
        <v>56</v>
      </c>
    </row>
    <row r="3" spans="1:16" x14ac:dyDescent="0.2">
      <c r="A3" s="28" t="s">
        <v>57</v>
      </c>
      <c r="I3" s="26" t="s">
        <v>58</v>
      </c>
      <c r="J3" s="27" t="s">
        <v>59</v>
      </c>
    </row>
    <row r="4" spans="1:16" x14ac:dyDescent="0.2">
      <c r="I4" s="26" t="s">
        <v>60</v>
      </c>
      <c r="J4" s="27" t="s">
        <v>59</v>
      </c>
    </row>
    <row r="5" spans="1:16" ht="13.5" thickBot="1" x14ac:dyDescent="0.25">
      <c r="I5" s="29" t="s">
        <v>61</v>
      </c>
      <c r="J5" s="30" t="s">
        <v>62</v>
      </c>
    </row>
    <row r="10" spans="1:16" ht="13.5" thickBot="1" x14ac:dyDescent="0.25"/>
    <row r="11" spans="1:16" ht="12.75" customHeight="1" thickBot="1" x14ac:dyDescent="0.25">
      <c r="A11" s="4" t="str">
        <f t="shared" ref="A11:A21" si="0">P11</f>
        <v>BAVM 186 </v>
      </c>
      <c r="B11" s="2" t="str">
        <f t="shared" ref="B11:B21" si="1">IF(H11=INT(H11),"I","II")</f>
        <v>I</v>
      </c>
      <c r="C11" s="4">
        <f t="shared" ref="C11:C21" si="2">1*G11</f>
        <v>53991.3318</v>
      </c>
      <c r="D11" s="8" t="str">
        <f t="shared" ref="D11:D21" si="3">VLOOKUP(F11,I$1:J$5,2,FALSE)</f>
        <v>vis</v>
      </c>
      <c r="E11" s="31">
        <f>VLOOKUP(C11,Active!C$21:E$973,3,FALSE)</f>
        <v>5275.9377466625501</v>
      </c>
      <c r="F11" s="2" t="s">
        <v>61</v>
      </c>
      <c r="G11" s="8" t="str">
        <f t="shared" ref="G11:G21" si="4">MID(I11,3,LEN(I11)-3)</f>
        <v>53991.3318</v>
      </c>
      <c r="H11" s="4">
        <f t="shared" ref="H11:H21" si="5">1*K11</f>
        <v>5276</v>
      </c>
      <c r="I11" s="32" t="s">
        <v>63</v>
      </c>
      <c r="J11" s="33" t="s">
        <v>64</v>
      </c>
      <c r="K11" s="32">
        <v>5276</v>
      </c>
      <c r="L11" s="32" t="s">
        <v>65</v>
      </c>
      <c r="M11" s="33" t="s">
        <v>66</v>
      </c>
      <c r="N11" s="33" t="s">
        <v>67</v>
      </c>
      <c r="O11" s="34" t="s">
        <v>68</v>
      </c>
      <c r="P11" s="35" t="s">
        <v>69</v>
      </c>
    </row>
    <row r="12" spans="1:16" ht="12.75" customHeight="1" thickBot="1" x14ac:dyDescent="0.25">
      <c r="A12" s="4" t="str">
        <f t="shared" si="0"/>
        <v> BBS 133 (=IBVS 5781) </v>
      </c>
      <c r="B12" s="2" t="str">
        <f t="shared" si="1"/>
        <v>I</v>
      </c>
      <c r="C12" s="4">
        <f t="shared" si="2"/>
        <v>54018.267999999996</v>
      </c>
      <c r="D12" s="8" t="str">
        <f t="shared" si="3"/>
        <v>vis</v>
      </c>
      <c r="E12" s="31">
        <f>VLOOKUP(C12,Active!C$21:E$973,3,FALSE)</f>
        <v>5352.9713900042234</v>
      </c>
      <c r="F12" s="2" t="s">
        <v>61</v>
      </c>
      <c r="G12" s="8" t="str">
        <f t="shared" si="4"/>
        <v>54018.268</v>
      </c>
      <c r="H12" s="4">
        <f t="shared" si="5"/>
        <v>5353</v>
      </c>
      <c r="I12" s="32" t="s">
        <v>70</v>
      </c>
      <c r="J12" s="33" t="s">
        <v>71</v>
      </c>
      <c r="K12" s="32" t="s">
        <v>72</v>
      </c>
      <c r="L12" s="32" t="s">
        <v>73</v>
      </c>
      <c r="M12" s="33" t="s">
        <v>66</v>
      </c>
      <c r="N12" s="33" t="s">
        <v>74</v>
      </c>
      <c r="O12" s="34" t="s">
        <v>75</v>
      </c>
      <c r="P12" s="34" t="s">
        <v>76</v>
      </c>
    </row>
    <row r="13" spans="1:16" ht="12.75" customHeight="1" thickBot="1" x14ac:dyDescent="0.25">
      <c r="A13" s="4" t="str">
        <f t="shared" si="0"/>
        <v> BBS 133 (=IBVS 5781) </v>
      </c>
      <c r="B13" s="2" t="str">
        <f t="shared" si="1"/>
        <v>II</v>
      </c>
      <c r="C13" s="4">
        <f t="shared" si="2"/>
        <v>54018.432000000001</v>
      </c>
      <c r="D13" s="8" t="str">
        <f t="shared" si="3"/>
        <v>vis</v>
      </c>
      <c r="E13" s="31">
        <f>VLOOKUP(C13,Active!C$21:E$973,3,FALSE)</f>
        <v>5353.4404063282918</v>
      </c>
      <c r="F13" s="2" t="s">
        <v>61</v>
      </c>
      <c r="G13" s="8" t="str">
        <f t="shared" si="4"/>
        <v>54018.432</v>
      </c>
      <c r="H13" s="4">
        <f t="shared" si="5"/>
        <v>5353.5</v>
      </c>
      <c r="I13" s="32" t="s">
        <v>77</v>
      </c>
      <c r="J13" s="33" t="s">
        <v>78</v>
      </c>
      <c r="K13" s="32" t="s">
        <v>79</v>
      </c>
      <c r="L13" s="32" t="s">
        <v>80</v>
      </c>
      <c r="M13" s="33" t="s">
        <v>66</v>
      </c>
      <c r="N13" s="33" t="s">
        <v>74</v>
      </c>
      <c r="O13" s="34" t="s">
        <v>75</v>
      </c>
      <c r="P13" s="34" t="s">
        <v>76</v>
      </c>
    </row>
    <row r="14" spans="1:16" ht="12.75" customHeight="1" thickBot="1" x14ac:dyDescent="0.25">
      <c r="A14" s="4" t="str">
        <f t="shared" si="0"/>
        <v> BBS 166 (=IBVS 5837) </v>
      </c>
      <c r="B14" s="2" t="str">
        <f t="shared" si="1"/>
        <v>II</v>
      </c>
      <c r="C14" s="4">
        <f t="shared" si="2"/>
        <v>54387.324500000002</v>
      </c>
      <c r="D14" s="8" t="str">
        <f t="shared" si="3"/>
        <v>vis</v>
      </c>
      <c r="E14" s="31">
        <f>VLOOKUP(C14,Active!C$21:E$973,3,FALSE)</f>
        <v>6408.4197009735035</v>
      </c>
      <c r="F14" s="2" t="s">
        <v>61</v>
      </c>
      <c r="G14" s="8" t="str">
        <f t="shared" si="4"/>
        <v>54387.3245</v>
      </c>
      <c r="H14" s="4">
        <f t="shared" si="5"/>
        <v>6408.5</v>
      </c>
      <c r="I14" s="32" t="s">
        <v>81</v>
      </c>
      <c r="J14" s="33" t="s">
        <v>82</v>
      </c>
      <c r="K14" s="32" t="s">
        <v>83</v>
      </c>
      <c r="L14" s="32" t="s">
        <v>84</v>
      </c>
      <c r="M14" s="33" t="s">
        <v>66</v>
      </c>
      <c r="N14" s="33" t="s">
        <v>74</v>
      </c>
      <c r="O14" s="34" t="s">
        <v>75</v>
      </c>
      <c r="P14" s="34" t="s">
        <v>85</v>
      </c>
    </row>
    <row r="15" spans="1:16" ht="12.75" customHeight="1" thickBot="1" x14ac:dyDescent="0.25">
      <c r="A15" s="4" t="str">
        <f t="shared" si="0"/>
        <v>IBVS 5920 </v>
      </c>
      <c r="B15" s="2" t="str">
        <f t="shared" si="1"/>
        <v>I</v>
      </c>
      <c r="C15" s="4">
        <f t="shared" si="2"/>
        <v>55104.311199999996</v>
      </c>
      <c r="D15" s="8" t="str">
        <f t="shared" si="3"/>
        <v>vis</v>
      </c>
      <c r="E15" s="31">
        <f>VLOOKUP(C15,Active!C$21:E$973,3,FALSE)</f>
        <v>8458.8981548211359</v>
      </c>
      <c r="F15" s="2" t="s">
        <v>61</v>
      </c>
      <c r="G15" s="8" t="str">
        <f t="shared" si="4"/>
        <v>55104.3112</v>
      </c>
      <c r="H15" s="4">
        <f t="shared" si="5"/>
        <v>8459</v>
      </c>
      <c r="I15" s="32" t="s">
        <v>86</v>
      </c>
      <c r="J15" s="33" t="s">
        <v>87</v>
      </c>
      <c r="K15" s="32" t="s">
        <v>88</v>
      </c>
      <c r="L15" s="32" t="s">
        <v>89</v>
      </c>
      <c r="M15" s="33" t="s">
        <v>66</v>
      </c>
      <c r="N15" s="33" t="s">
        <v>53</v>
      </c>
      <c r="O15" s="34" t="s">
        <v>75</v>
      </c>
      <c r="P15" s="35" t="s">
        <v>90</v>
      </c>
    </row>
    <row r="16" spans="1:16" ht="12.75" customHeight="1" thickBot="1" x14ac:dyDescent="0.25">
      <c r="A16" s="4" t="str">
        <f t="shared" si="0"/>
        <v>BAVM 215 </v>
      </c>
      <c r="B16" s="2" t="str">
        <f t="shared" si="1"/>
        <v>II</v>
      </c>
      <c r="C16" s="4">
        <f t="shared" si="2"/>
        <v>55418.481299999999</v>
      </c>
      <c r="D16" s="8" t="str">
        <f t="shared" si="3"/>
        <v>vis</v>
      </c>
      <c r="E16" s="31">
        <f>VLOOKUP(C16,Active!C$21:E$973,3,FALSE)</f>
        <v>9357.3792854936692</v>
      </c>
      <c r="F16" s="2" t="s">
        <v>61</v>
      </c>
      <c r="G16" s="8" t="str">
        <f t="shared" si="4"/>
        <v>55418.4813</v>
      </c>
      <c r="H16" s="4">
        <f t="shared" si="5"/>
        <v>9357.5</v>
      </c>
      <c r="I16" s="32" t="s">
        <v>91</v>
      </c>
      <c r="J16" s="33" t="s">
        <v>92</v>
      </c>
      <c r="K16" s="32" t="s">
        <v>93</v>
      </c>
      <c r="L16" s="32" t="s">
        <v>94</v>
      </c>
      <c r="M16" s="33" t="s">
        <v>66</v>
      </c>
      <c r="N16" s="33" t="s">
        <v>67</v>
      </c>
      <c r="O16" s="34" t="s">
        <v>95</v>
      </c>
      <c r="P16" s="35" t="s">
        <v>96</v>
      </c>
    </row>
    <row r="17" spans="1:16" ht="12.75" customHeight="1" thickBot="1" x14ac:dyDescent="0.25">
      <c r="A17" s="4" t="str">
        <f t="shared" si="0"/>
        <v>BAVM 220 </v>
      </c>
      <c r="B17" s="2" t="str">
        <f t="shared" si="1"/>
        <v>II</v>
      </c>
      <c r="C17" s="4">
        <f t="shared" si="2"/>
        <v>55674.434000000001</v>
      </c>
      <c r="D17" s="8" t="str">
        <f t="shared" si="3"/>
        <v>vis</v>
      </c>
      <c r="E17" s="31">
        <f>VLOOKUP(C17,Active!C$21:E$973,3,FALSE)</f>
        <v>10089.36705675098</v>
      </c>
      <c r="F17" s="2" t="s">
        <v>61</v>
      </c>
      <c r="G17" s="8" t="str">
        <f t="shared" si="4"/>
        <v>55674.4340</v>
      </c>
      <c r="H17" s="4">
        <f t="shared" si="5"/>
        <v>10089.5</v>
      </c>
      <c r="I17" s="32" t="s">
        <v>97</v>
      </c>
      <c r="J17" s="33" t="s">
        <v>98</v>
      </c>
      <c r="K17" s="32" t="s">
        <v>99</v>
      </c>
      <c r="L17" s="32" t="s">
        <v>100</v>
      </c>
      <c r="M17" s="33" t="s">
        <v>66</v>
      </c>
      <c r="N17" s="33" t="s">
        <v>67</v>
      </c>
      <c r="O17" s="34" t="s">
        <v>95</v>
      </c>
      <c r="P17" s="35" t="s">
        <v>101</v>
      </c>
    </row>
    <row r="18" spans="1:16" ht="12.75" customHeight="1" thickBot="1" x14ac:dyDescent="0.25">
      <c r="A18" s="4" t="str">
        <f t="shared" si="0"/>
        <v>IBVS 6029 </v>
      </c>
      <c r="B18" s="2" t="str">
        <f t="shared" si="1"/>
        <v>II</v>
      </c>
      <c r="C18" s="4">
        <f t="shared" si="2"/>
        <v>56089.834799999997</v>
      </c>
      <c r="D18" s="8" t="str">
        <f t="shared" si="3"/>
        <v>vis</v>
      </c>
      <c r="E18" s="31">
        <f>VLOOKUP(C18,Active!C$21:E$973,3,FALSE)</f>
        <v>11277.353375201612</v>
      </c>
      <c r="F18" s="2" t="s">
        <v>61</v>
      </c>
      <c r="G18" s="8" t="str">
        <f t="shared" si="4"/>
        <v>56089.8348</v>
      </c>
      <c r="H18" s="4">
        <f t="shared" si="5"/>
        <v>11277.5</v>
      </c>
      <c r="I18" s="32" t="s">
        <v>108</v>
      </c>
      <c r="J18" s="33" t="s">
        <v>109</v>
      </c>
      <c r="K18" s="32" t="s">
        <v>110</v>
      </c>
      <c r="L18" s="32" t="s">
        <v>111</v>
      </c>
      <c r="M18" s="33" t="s">
        <v>66</v>
      </c>
      <c r="N18" s="33" t="s">
        <v>61</v>
      </c>
      <c r="O18" s="34" t="s">
        <v>112</v>
      </c>
      <c r="P18" s="35" t="s">
        <v>113</v>
      </c>
    </row>
    <row r="19" spans="1:16" ht="12.75" customHeight="1" thickBot="1" x14ac:dyDescent="0.25">
      <c r="A19" s="4" t="str">
        <f t="shared" si="0"/>
        <v>BAVM 239 </v>
      </c>
      <c r="B19" s="2" t="str">
        <f t="shared" si="1"/>
        <v>I</v>
      </c>
      <c r="C19" s="4">
        <f t="shared" si="2"/>
        <v>56933.394699999997</v>
      </c>
      <c r="D19" s="8" t="str">
        <f t="shared" si="3"/>
        <v>vis</v>
      </c>
      <c r="E19" s="31">
        <f>VLOOKUP(C19,Active!C$21:E$973,3,FALSE)</f>
        <v>13689.812908244385</v>
      </c>
      <c r="F19" s="2" t="s">
        <v>61</v>
      </c>
      <c r="G19" s="8" t="str">
        <f t="shared" si="4"/>
        <v>56933.3947</v>
      </c>
      <c r="H19" s="4">
        <f t="shared" si="5"/>
        <v>13690</v>
      </c>
      <c r="I19" s="32" t="s">
        <v>114</v>
      </c>
      <c r="J19" s="33" t="s">
        <v>115</v>
      </c>
      <c r="K19" s="32" t="s">
        <v>116</v>
      </c>
      <c r="L19" s="32" t="s">
        <v>117</v>
      </c>
      <c r="M19" s="33" t="s">
        <v>66</v>
      </c>
      <c r="N19" s="33" t="s">
        <v>67</v>
      </c>
      <c r="O19" s="34" t="s">
        <v>95</v>
      </c>
      <c r="P19" s="35" t="s">
        <v>118</v>
      </c>
    </row>
    <row r="20" spans="1:16" ht="12.75" customHeight="1" thickBot="1" x14ac:dyDescent="0.25">
      <c r="A20" s="4" t="str">
        <f t="shared" si="0"/>
        <v>BAVM 239 </v>
      </c>
      <c r="B20" s="2" t="str">
        <f t="shared" si="1"/>
        <v>II</v>
      </c>
      <c r="C20" s="4">
        <f t="shared" si="2"/>
        <v>56933.5651</v>
      </c>
      <c r="D20" s="8" t="str">
        <f t="shared" si="3"/>
        <v>vis</v>
      </c>
      <c r="E20" s="31">
        <f>VLOOKUP(C20,Active!C$21:E$973,3,FALSE)</f>
        <v>13690.30022764451</v>
      </c>
      <c r="F20" s="2" t="s">
        <v>61</v>
      </c>
      <c r="G20" s="8" t="str">
        <f t="shared" si="4"/>
        <v>56933.5651</v>
      </c>
      <c r="H20" s="4">
        <f t="shared" si="5"/>
        <v>13690.5</v>
      </c>
      <c r="I20" s="32" t="s">
        <v>119</v>
      </c>
      <c r="J20" s="33" t="s">
        <v>120</v>
      </c>
      <c r="K20" s="32" t="s">
        <v>121</v>
      </c>
      <c r="L20" s="32" t="s">
        <v>122</v>
      </c>
      <c r="M20" s="33" t="s">
        <v>66</v>
      </c>
      <c r="N20" s="33" t="s">
        <v>67</v>
      </c>
      <c r="O20" s="34" t="s">
        <v>95</v>
      </c>
      <c r="P20" s="35" t="s">
        <v>118</v>
      </c>
    </row>
    <row r="21" spans="1:16" ht="12.75" customHeight="1" thickBot="1" x14ac:dyDescent="0.25">
      <c r="A21" s="4" t="str">
        <f t="shared" si="0"/>
        <v>BAVM 225 </v>
      </c>
      <c r="B21" s="2" t="str">
        <f t="shared" si="1"/>
        <v>I</v>
      </c>
      <c r="C21" s="4">
        <f t="shared" si="2"/>
        <v>55832.304499999998</v>
      </c>
      <c r="D21" s="8" t="str">
        <f t="shared" si="3"/>
        <v>vis</v>
      </c>
      <c r="E21" s="31">
        <f>VLOOKUP(C21,Active!C$21:E$973,3,FALSE)</f>
        <v>0</v>
      </c>
      <c r="F21" s="2" t="s">
        <v>61</v>
      </c>
      <c r="G21" s="8" t="str">
        <f t="shared" si="4"/>
        <v>55832.3045</v>
      </c>
      <c r="H21" s="4">
        <f t="shared" si="5"/>
        <v>10541</v>
      </c>
      <c r="I21" s="32" t="s">
        <v>102</v>
      </c>
      <c r="J21" s="33" t="s">
        <v>103</v>
      </c>
      <c r="K21" s="32" t="s">
        <v>104</v>
      </c>
      <c r="L21" s="32" t="s">
        <v>105</v>
      </c>
      <c r="M21" s="33" t="s">
        <v>66</v>
      </c>
      <c r="N21" s="33" t="s">
        <v>67</v>
      </c>
      <c r="O21" s="34" t="s">
        <v>106</v>
      </c>
      <c r="P21" s="35" t="s">
        <v>107</v>
      </c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</sheetData>
  <phoneticPr fontId="6" type="noConversion"/>
  <hyperlinks>
    <hyperlink ref="P11" r:id="rId1" display="http://www.bav-astro.de/sfs/BAVM_link.php?BAVMnr=186"/>
    <hyperlink ref="P15" r:id="rId2" display="http://www.konkoly.hu/cgi-bin/IBVS?5920"/>
    <hyperlink ref="P16" r:id="rId3" display="http://www.bav-astro.de/sfs/BAVM_link.php?BAVMnr=215"/>
    <hyperlink ref="P17" r:id="rId4" display="http://www.bav-astro.de/sfs/BAVM_link.php?BAVMnr=220"/>
    <hyperlink ref="P21" r:id="rId5" display="http://www.bav-astro.de/sfs/BAVM_link.php?BAVMnr=225"/>
    <hyperlink ref="P18" r:id="rId6" display="http://www.konkoly.hu/cgi-bin/IBVS?6029"/>
    <hyperlink ref="P19" r:id="rId7" display="http://www.bav-astro.de/sfs/BAVM_link.php?BAVMnr=239"/>
    <hyperlink ref="P20" r:id="rId8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2024-01-05T00:33:33Z</dcterms:modified>
</cp:coreProperties>
</file>