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7143D04-228B-4AA6-B5DA-89E2C7032B97}" xr6:coauthVersionLast="47" xr6:coauthVersionMax="47" xr10:uidLastSave="{00000000-0000-0000-0000-000000000000}"/>
  <bookViews>
    <workbookView xWindow="14460" yWindow="315" windowWidth="14520" windowHeight="14205"/>
  </bookViews>
  <sheets>
    <sheet name="Active 1" sheetId="1" r:id="rId1"/>
    <sheet name="Active 2" sheetId="3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9" i="3" l="1"/>
  <c r="F29" i="3"/>
  <c r="G29" i="3" s="1"/>
  <c r="K29" i="3" s="1"/>
  <c r="Q29" i="3"/>
  <c r="E29" i="1"/>
  <c r="F29" i="1" s="1"/>
  <c r="G29" i="1" s="1"/>
  <c r="K29" i="1" s="1"/>
  <c r="Q29" i="1"/>
  <c r="E28" i="3"/>
  <c r="F28" i="3"/>
  <c r="G28" i="3"/>
  <c r="K28" i="3"/>
  <c r="Q28" i="3"/>
  <c r="Q28" i="1"/>
  <c r="D9" i="1"/>
  <c r="C9" i="1"/>
  <c r="E28" i="1"/>
  <c r="F28" i="1"/>
  <c r="G28" i="1"/>
  <c r="K28" i="1"/>
  <c r="C9" i="3"/>
  <c r="D9" i="3"/>
  <c r="F16" i="3"/>
  <c r="F17" i="3" s="1"/>
  <c r="E21" i="3"/>
  <c r="F21" i="3"/>
  <c r="G21" i="3"/>
  <c r="J21" i="3"/>
  <c r="Q21" i="3"/>
  <c r="E22" i="3"/>
  <c r="F22" i="3"/>
  <c r="G22" i="3"/>
  <c r="K22" i="3"/>
  <c r="Q22" i="3"/>
  <c r="A23" i="3"/>
  <c r="D23" i="3"/>
  <c r="E24" i="3"/>
  <c r="F24" i="3"/>
  <c r="G24" i="3"/>
  <c r="K24" i="3"/>
  <c r="Q24" i="3"/>
  <c r="E25" i="3"/>
  <c r="F25" i="3"/>
  <c r="G25" i="3"/>
  <c r="K25" i="3"/>
  <c r="Q25" i="3"/>
  <c r="E26" i="3"/>
  <c r="F26" i="3"/>
  <c r="G26" i="3"/>
  <c r="J26" i="3"/>
  <c r="Q26" i="3"/>
  <c r="E27" i="3"/>
  <c r="F27" i="3"/>
  <c r="G27" i="3"/>
  <c r="K27" i="3"/>
  <c r="Q27" i="3"/>
  <c r="E27" i="1"/>
  <c r="F27" i="1"/>
  <c r="G27" i="1"/>
  <c r="K27" i="1"/>
  <c r="E22" i="1"/>
  <c r="F22" i="1"/>
  <c r="G22" i="1"/>
  <c r="K22" i="1"/>
  <c r="E24" i="1"/>
  <c r="F24" i="1"/>
  <c r="G24" i="1"/>
  <c r="K24" i="1"/>
  <c r="E25" i="1"/>
  <c r="F25" i="1"/>
  <c r="G25" i="1"/>
  <c r="K25" i="1"/>
  <c r="E26" i="1"/>
  <c r="F26" i="1"/>
  <c r="G26" i="1"/>
  <c r="J26" i="1"/>
  <c r="Q27" i="1"/>
  <c r="G15" i="2"/>
  <c r="C23" i="3"/>
  <c r="A23" i="1"/>
  <c r="H15" i="2"/>
  <c r="B23" i="3"/>
  <c r="D23" i="1"/>
  <c r="G14" i="2"/>
  <c r="C14" i="2"/>
  <c r="G13" i="2"/>
  <c r="C13" i="2"/>
  <c r="G12" i="2"/>
  <c r="C12" i="2"/>
  <c r="G11" i="2"/>
  <c r="C11" i="2"/>
  <c r="E11" i="2"/>
  <c r="H14" i="2"/>
  <c r="D14" i="2"/>
  <c r="B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6" i="1"/>
  <c r="Q24" i="1"/>
  <c r="Q25" i="1"/>
  <c r="Q22" i="1"/>
  <c r="E21" i="1"/>
  <c r="F21" i="1"/>
  <c r="G21" i="1"/>
  <c r="J21" i="1"/>
  <c r="F16" i="1"/>
  <c r="F17" i="1" s="1"/>
  <c r="Q21" i="1"/>
  <c r="Q23" i="3"/>
  <c r="E23" i="3"/>
  <c r="F23" i="3"/>
  <c r="C17" i="3"/>
  <c r="G23" i="3"/>
  <c r="E12" i="2"/>
  <c r="E13" i="2"/>
  <c r="E14" i="2"/>
  <c r="C23" i="1"/>
  <c r="B23" i="1"/>
  <c r="K23" i="3"/>
  <c r="Q23" i="1"/>
  <c r="E23" i="1"/>
  <c r="F23" i="1"/>
  <c r="C17" i="1"/>
  <c r="G23" i="1"/>
  <c r="E15" i="2"/>
  <c r="K23" i="1"/>
  <c r="C12" i="3"/>
  <c r="C11" i="3"/>
  <c r="C12" i="1"/>
  <c r="C11" i="1"/>
  <c r="O29" i="3" l="1"/>
  <c r="O29" i="1"/>
  <c r="O21" i="1"/>
  <c r="O22" i="1"/>
  <c r="O26" i="1"/>
  <c r="O24" i="1"/>
  <c r="O28" i="1"/>
  <c r="O27" i="1"/>
  <c r="O23" i="1"/>
  <c r="O25" i="1"/>
  <c r="C15" i="1"/>
  <c r="C16" i="1"/>
  <c r="D18" i="1" s="1"/>
  <c r="O23" i="3"/>
  <c r="O22" i="3"/>
  <c r="O21" i="3"/>
  <c r="O28" i="3"/>
  <c r="O25" i="3"/>
  <c r="O24" i="3"/>
  <c r="O27" i="3"/>
  <c r="C15" i="3"/>
  <c r="O26" i="3"/>
  <c r="C16" i="3"/>
  <c r="D18" i="3" s="1"/>
  <c r="C18" i="1" l="1"/>
  <c r="F18" i="1"/>
  <c r="F19" i="1" s="1"/>
  <c r="C18" i="3"/>
  <c r="F18" i="3"/>
  <c r="F19" i="3" s="1"/>
</calcChain>
</file>

<file path=xl/sharedStrings.xml><?xml version="1.0" encoding="utf-8"?>
<sst xmlns="http://schemas.openxmlformats.org/spreadsheetml/2006/main" count="175" uniqueCount="90">
  <si>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</si>
  <si>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</si>
  <si>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</si>
  <si>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</si>
  <si>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</si>
  <si>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</si>
  <si>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</si>
  <si>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</si>
  <si>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</si>
  <si>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</si>
  <si>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</si>
  <si>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</si>
  <si>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</si>
  <si>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</si>
  <si>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</si>
  <si>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</si>
  <si>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</si>
  <si>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</si>
  <si>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</si>
  <si>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</si>
  <si>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</si>
  <si>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</si>
  <si>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</si>
  <si>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</si>
  <si>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</si>
  <si>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</si>
  <si>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</si>
  <si>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</si>
  <si>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</si>
  <si>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</si>
  <si>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</si>
  <si>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</si>
  <si>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</si>
  <si>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</si>
  <si>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</si>
  <si>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</si>
  <si>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</si>
  <si>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</si>
  <si>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</si>
  <si>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MY Dra</t>
  </si>
  <si>
    <t xml:space="preserve">MY Dra / GSC 394-0384 </t>
  </si>
  <si>
    <t xml:space="preserve">G4394-0384 </t>
  </si>
  <si>
    <t>EA</t>
  </si>
  <si>
    <t>IBVS 5997</t>
  </si>
  <si>
    <t>I</t>
  </si>
  <si>
    <t>IBVS 6029</t>
  </si>
  <si>
    <t>OEJV 0160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</si>
  <si>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</si>
  <si>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</si>
  <si>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</si>
  <si>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</si>
  <si>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</si>
  <si>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</si>
  <si>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</si>
  <si>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</si>
  <si>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</si>
  <si>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</si>
  <si>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</si>
  <si>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</si>
  <si>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2455655.4064 </t>
  </si>
  <si>
    <t> 03.04.2011 21:45 </t>
  </si>
  <si>
    <t> 0.0271 </t>
  </si>
  <si>
    <t>C </t>
  </si>
  <si>
    <t> R.Papini </t>
  </si>
  <si>
    <t>IBVS 5997 </t>
  </si>
  <si>
    <t>2455672.5395 </t>
  </si>
  <si>
    <t> 21.04.2011 00:56 </t>
  </si>
  <si>
    <t> 0.0277 </t>
  </si>
  <si>
    <t>-U;-I</t>
  </si>
  <si>
    <t> M.&amp; K.Rätz </t>
  </si>
  <si>
    <t>BAVM 225 </t>
  </si>
  <si>
    <t>2455691.38388 </t>
  </si>
  <si>
    <t> 09.05.2011 21:12 </t>
  </si>
  <si>
    <t>2540</t>
  </si>
  <si>
    <t> 0.02628 </t>
  </si>
  <si>
    <t> M.Vraš?ak </t>
  </si>
  <si>
    <t>OEJV 0160 </t>
  </si>
  <si>
    <t>2456035.7523 </t>
  </si>
  <si>
    <t> 18.04.2012 06:03 </t>
  </si>
  <si>
    <t>2741</t>
  </si>
  <si>
    <t> 0.0314 </t>
  </si>
  <si>
    <t> R.Diethelm </t>
  </si>
  <si>
    <t>IBVS 6029 </t>
  </si>
  <si>
    <t>2456431.5167 </t>
  </si>
  <si>
    <t> 19.05.2013 00:24 </t>
  </si>
  <si>
    <t>2972</t>
  </si>
  <si>
    <t> 0.0351 </t>
  </si>
  <si>
    <t>BAVM 234 </t>
  </si>
  <si>
    <t>RHN 2020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</si>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</sst>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4" borderId="19" xfId="0" applyFont="1" applyFill="1" applyBorder="1" applyAlignment="1">
      <alignment horizontal="left" vertical="top" wrapText="1" indent="1"/>
    </xf>
    <xf numFmtId="0" fontId="5" fillId="24" borderId="19" xfId="0" applyFont="1" applyFill="1" applyBorder="1" applyAlignment="1">
      <alignment horizontal="center" vertical="top" wrapText="1"/>
    </xf>
    <xf numFmtId="0" fontId="5" fillId="24" borderId="19" xfId="0" applyFont="1" applyFill="1" applyBorder="1" applyAlignment="1">
      <alignment horizontal="right" vertical="top" wrapText="1"/>
    </xf>
    <xf numFmtId="0" fontId="17" fillId="24" borderId="19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left" wrapText="1"/>
    </xf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Dra - O-C Diagr.</a:t>
            </a:r>
          </a:p>
        </c:rich>
      </c:tx>
      <c:layout>
        <c:manualLayout>
          <c:xMode val="edge"/>
          <c:yMode val="edge"/>
          <c:x val="0.3879699248120300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FE-40DE-A62B-DF85B930B43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FE-40DE-A62B-DF85B930B43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0</c:v>
                </c:pt>
                <c:pt idx="5">
                  <c:v>-2.0475844452448655E-2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FE-40DE-A62B-DF85B930B43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1">
                  <c:v>-2.0054829132277519E-2</c:v>
                </c:pt>
                <c:pt idx="2">
                  <c:v>-1.9641827260784339E-2</c:v>
                </c:pt>
                <c:pt idx="3">
                  <c:v>-2.1217525201791432E-2</c:v>
                </c:pt>
                <c:pt idx="4">
                  <c:v>-1.9806187629001215E-2</c:v>
                </c:pt>
                <c:pt idx="6">
                  <c:v>-2.0211297152854968E-2</c:v>
                </c:pt>
                <c:pt idx="7">
                  <c:v>-2.8833269483584445E-2</c:v>
                </c:pt>
                <c:pt idx="8">
                  <c:v>-2.6243691907438915E-2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FE-40DE-A62B-DF85B930B43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FE-40DE-A62B-DF85B930B43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FE-40DE-A62B-DF85B930B43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FE-40DE-A62B-DF85B930B43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-4.0590306648454044E-3</c:v>
                </c:pt>
                <c:pt idx="1">
                  <c:v>-1.7432147322152397E-2</c:v>
                </c:pt>
                <c:pt idx="2">
                  <c:v>-1.7485236312455323E-2</c:v>
                </c:pt>
                <c:pt idx="3">
                  <c:v>-1.754363420178854E-2</c:v>
                </c:pt>
                <c:pt idx="4">
                  <c:v>-1.8610722906877347E-2</c:v>
                </c:pt>
                <c:pt idx="5">
                  <c:v>-1.9837078582874937E-2</c:v>
                </c:pt>
                <c:pt idx="6">
                  <c:v>-2.4020491018745482E-2</c:v>
                </c:pt>
                <c:pt idx="7">
                  <c:v>-2.7646469056435308E-2</c:v>
                </c:pt>
                <c:pt idx="8">
                  <c:v>-2.984966215400673E-2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FE-40DE-A62B-DF85B930B43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9FE-40DE-A62B-DF85B930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8081456"/>
        <c:axId val="1"/>
      </c:scatterChart>
      <c:valAx>
        <c:axId val="958081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8081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Dra - O-C Diagr.</a:t>
            </a:r>
          </a:p>
        </c:rich>
      </c:tx>
      <c:layout>
        <c:manualLayout>
          <c:xMode val="edge"/>
          <c:yMode val="edge"/>
          <c:x val="0.38796992481203008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240601503759398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BC-4B19-A7AD-8B2AACB7B20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BC-4B19-A7AD-8B2AACB7B20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  <c:pt idx="0">
                  <c:v>0</c:v>
                </c:pt>
                <c:pt idx="5">
                  <c:v>3.5100000000966247E-2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BC-4B19-A7AD-8B2AACB7B20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  <c:pt idx="1">
                  <c:v>2.7050000004237518E-2</c:v>
                </c:pt>
                <c:pt idx="2">
                  <c:v>2.7650000003632158E-2</c:v>
                </c:pt>
                <c:pt idx="3">
                  <c:v>2.628000000549946E-2</c:v>
                </c:pt>
                <c:pt idx="4">
                  <c:v>3.1450000002223533E-2</c:v>
                </c:pt>
                <c:pt idx="6">
                  <c:v>5.0100000000384171E-2</c:v>
                </c:pt>
                <c:pt idx="7">
                  <c:v>5.4250000008323696E-2</c:v>
                </c:pt>
                <c:pt idx="8">
                  <c:v>6.4600000005157199E-2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BC-4B19-A7AD-8B2AACB7B20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BC-4B19-A7AD-8B2AACB7B20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BC-4B19-A7AD-8B2AACB7B20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8.0000000000000004E-4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BC-4B19-A7AD-8B2AACB7B20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-1.1736335889679969E-2</c:v>
                </c:pt>
                <c:pt idx="1">
                  <c:v>2.7476309619972897E-2</c:v>
                </c:pt>
                <c:pt idx="2">
                  <c:v>2.763197712894333E-2</c:v>
                </c:pt>
                <c:pt idx="3">
                  <c:v>2.7803211388810811E-2</c:v>
                </c:pt>
                <c:pt idx="4">
                  <c:v>3.0932128319116577E-2</c:v>
                </c:pt>
                <c:pt idx="5">
                  <c:v>3.4528047776333649E-2</c:v>
                </c:pt>
                <c:pt idx="6">
                  <c:v>4.679464748320402E-2</c:v>
                </c:pt>
                <c:pt idx="7">
                  <c:v>5.7426738345884812E-2</c:v>
                </c:pt>
                <c:pt idx="8">
                  <c:v>6.3886939968157905E-2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BC-4B19-A7AD-8B2AACB7B20B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2519</c:v>
                </c:pt>
                <c:pt idx="2">
                  <c:v>2529</c:v>
                </c:pt>
                <c:pt idx="3">
                  <c:v>2540</c:v>
                </c:pt>
                <c:pt idx="4">
                  <c:v>2741</c:v>
                </c:pt>
                <c:pt idx="5">
                  <c:v>2972</c:v>
                </c:pt>
                <c:pt idx="6">
                  <c:v>3760</c:v>
                </c:pt>
                <c:pt idx="7">
                  <c:v>4443</c:v>
                </c:pt>
                <c:pt idx="8">
                  <c:v>4858</c:v>
                </c:pt>
              </c:numCache>
            </c:numRef>
          </c:xVal>
          <c:yVal>
            <c:numRef>
              <c:f>'Active 2'!$U$21:$U$999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BC-4B19-A7AD-8B2AACB7B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0086416"/>
        <c:axId val="1"/>
      </c:scatterChart>
      <c:valAx>
        <c:axId val="1170086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0086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203007518796993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7DEC5B-1842-3398-37E0-1A8BBCF05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A07F2DE-D41A-DA2F-4A3C-64B65E77B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konkoly.hu/cgi-bin/IBVS?5997" TargetMode="External"/><Relationship Id="rId5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40</v>
      </c>
      <c r="E1" s="27" t="s">
        <v>39</v>
      </c>
      <c r="F1" t="s">
        <v>41</v>
      </c>
    </row>
    <row r="2" spans="1:6" s="62" customFormat="1" ht="12.95" customHeight="1" x14ac:dyDescent="0.2">
      <c r="A2" s="62" t="s">
        <v>24</v>
      </c>
      <c r="B2" s="62" t="s">
        <v>42</v>
      </c>
      <c r="C2" s="63"/>
      <c r="D2" s="63"/>
      <c r="E2" s="62">
        <v>0</v>
      </c>
    </row>
    <row r="3" spans="1:6" s="62" customFormat="1" ht="12.95" customHeight="1" thickBot="1" x14ac:dyDescent="0.25"/>
    <row r="4" spans="1:6" s="62" customFormat="1" ht="12.95" customHeight="1" thickBot="1" x14ac:dyDescent="0.25">
      <c r="A4" s="64" t="s">
        <v>1</v>
      </c>
      <c r="C4" s="65">
        <v>51339.702599999997</v>
      </c>
      <c r="D4" s="66">
        <v>1.7132499999999999</v>
      </c>
    </row>
    <row r="5" spans="1:6" s="62" customFormat="1" ht="12.95" customHeight="1" x14ac:dyDescent="0.2">
      <c r="A5" s="67" t="s">
        <v>29</v>
      </c>
      <c r="C5" s="68">
        <v>-9.5</v>
      </c>
      <c r="D5" s="62" t="s">
        <v>30</v>
      </c>
    </row>
    <row r="6" spans="1:6" s="62" customFormat="1" ht="12.95" customHeight="1" x14ac:dyDescent="0.2">
      <c r="A6" s="64" t="s">
        <v>2</v>
      </c>
    </row>
    <row r="7" spans="1:6" s="62" customFormat="1" ht="12.95" customHeight="1" x14ac:dyDescent="0.2">
      <c r="A7" s="62" t="s">
        <v>3</v>
      </c>
      <c r="C7" s="69">
        <v>51339.702599999997</v>
      </c>
      <c r="D7" s="70" t="e">
        <v>#N/A</v>
      </c>
    </row>
    <row r="8" spans="1:6" s="62" customFormat="1" ht="12.95" customHeight="1" x14ac:dyDescent="0.2">
      <c r="A8" s="62" t="s">
        <v>4</v>
      </c>
      <c r="C8" s="69">
        <v>1.7132686998130735</v>
      </c>
      <c r="D8" s="70" t="e">
        <v>#N/A</v>
      </c>
    </row>
    <row r="9" spans="1:6" s="62" customFormat="1" ht="12.95" customHeight="1" x14ac:dyDescent="0.2">
      <c r="A9" s="27" t="s">
        <v>34</v>
      </c>
      <c r="B9" s="71">
        <v>21</v>
      </c>
      <c r="C9" s="72" t="str">
        <f>"F"&amp;B9</f>
        <v>F21</v>
      </c>
      <c r="D9" s="73" t="str">
        <f>"G"&amp;B9</f>
        <v>G21</v>
      </c>
    </row>
    <row r="10" spans="1:6" s="62" customFormat="1" ht="12.95" customHeight="1" thickBot="1" x14ac:dyDescent="0.25">
      <c r="C10" s="74" t="s">
        <v>20</v>
      </c>
      <c r="D10" s="74" t="s">
        <v>21</v>
      </c>
    </row>
    <row r="11" spans="1:6" s="62" customFormat="1" ht="12.95" customHeight="1" x14ac:dyDescent="0.2">
      <c r="A11" s="62" t="s">
        <v>16</v>
      </c>
      <c r="C11" s="73">
        <f ca="1">INTERCEPT(INDIRECT($D$9):G992,INDIRECT($C$9):F992)</f>
        <v>-4.0590306648454044E-3</v>
      </c>
      <c r="D11" s="63"/>
    </row>
    <row r="12" spans="1:6" s="62" customFormat="1" ht="12.95" customHeight="1" x14ac:dyDescent="0.2">
      <c r="A12" s="62" t="s">
        <v>17</v>
      </c>
      <c r="C12" s="73">
        <f ca="1">SLOPE(INDIRECT($D$9):G992,INDIRECT($C$9):F992)</f>
        <v>-5.3088990302925738E-6</v>
      </c>
      <c r="D12" s="63"/>
    </row>
    <row r="13" spans="1:6" s="62" customFormat="1" ht="12.95" customHeight="1" x14ac:dyDescent="0.2">
      <c r="A13" s="62" t="s">
        <v>19</v>
      </c>
      <c r="C13" s="63" t="s">
        <v>14</v>
      </c>
    </row>
    <row r="14" spans="1:6" s="62" customFormat="1" ht="12.95" customHeight="1" x14ac:dyDescent="0.2"/>
    <row r="15" spans="1:6" s="62" customFormat="1" ht="12.95" customHeight="1" x14ac:dyDescent="0.2">
      <c r="A15" s="75" t="s">
        <v>18</v>
      </c>
      <c r="C15" s="76">
        <f ca="1">(C7+C11)+(C8+C12)*INT(MAX(F21:F3533))</f>
        <v>59662.73209402975</v>
      </c>
      <c r="E15" s="70" t="s">
        <v>36</v>
      </c>
      <c r="F15" s="68">
        <v>1</v>
      </c>
    </row>
    <row r="16" spans="1:6" s="62" customFormat="1" ht="12.95" customHeight="1" x14ac:dyDescent="0.2">
      <c r="A16" s="64" t="s">
        <v>5</v>
      </c>
      <c r="C16" s="77">
        <f ca="1">+C8+C12</f>
        <v>1.7132633909140431</v>
      </c>
      <c r="E16" s="70" t="s">
        <v>31</v>
      </c>
      <c r="F16" s="78">
        <f ca="1">NOW()+15018.5+$C$5/24</f>
        <v>60210.722370023148</v>
      </c>
    </row>
    <row r="17" spans="1:21" s="62" customFormat="1" ht="12.95" customHeight="1" thickBot="1" x14ac:dyDescent="0.25">
      <c r="A17" s="70" t="s">
        <v>28</v>
      </c>
      <c r="C17" s="62">
        <f>COUNT(C21:C2191)</f>
        <v>9</v>
      </c>
      <c r="E17" s="70" t="s">
        <v>37</v>
      </c>
      <c r="F17" s="78">
        <f ca="1">ROUND(2*(F16-$C$7)/$C$8,0)/2+F15</f>
        <v>5179</v>
      </c>
    </row>
    <row r="18" spans="1:21" s="62" customFormat="1" ht="12.95" customHeight="1" thickTop="1" thickBot="1" x14ac:dyDescent="0.25">
      <c r="A18" s="64" t="s">
        <v>6</v>
      </c>
      <c r="C18" s="79">
        <f ca="1">+C15</f>
        <v>59662.73209402975</v>
      </c>
      <c r="D18" s="80">
        <f ca="1">+C16</f>
        <v>1.7132633909140431</v>
      </c>
      <c r="E18" s="70" t="s">
        <v>32</v>
      </c>
      <c r="F18" s="73">
        <f ca="1">ROUND(2*(F16-$C$15)/$C$16,0)/2+F15</f>
        <v>321</v>
      </c>
    </row>
    <row r="19" spans="1:21" s="62" customFormat="1" ht="12.95" customHeight="1" thickTop="1" x14ac:dyDescent="0.2">
      <c r="E19" s="70" t="s">
        <v>33</v>
      </c>
      <c r="F19" s="81">
        <f ca="1">+$C$15+$C$16*F18-15018.5-$C$5/24</f>
        <v>45194.585475846492</v>
      </c>
    </row>
    <row r="20" spans="1:21" s="62" customFormat="1" ht="12.95" customHeight="1" thickBot="1" x14ac:dyDescent="0.25">
      <c r="A20" s="74" t="s">
        <v>7</v>
      </c>
      <c r="B20" s="74" t="s">
        <v>8</v>
      </c>
      <c r="C20" s="74" t="s">
        <v>9</v>
      </c>
      <c r="D20" s="74" t="s">
        <v>13</v>
      </c>
      <c r="E20" s="74" t="s">
        <v>10</v>
      </c>
      <c r="F20" s="74" t="s">
        <v>11</v>
      </c>
      <c r="G20" s="74" t="s">
        <v>12</v>
      </c>
      <c r="H20" s="82" t="s">
        <v>55</v>
      </c>
      <c r="I20" s="82" t="s">
        <v>58</v>
      </c>
      <c r="J20" s="82" t="s">
        <v>52</v>
      </c>
      <c r="K20" s="82" t="s">
        <v>50</v>
      </c>
      <c r="L20" s="82" t="s">
        <v>25</v>
      </c>
      <c r="M20" s="82" t="s">
        <v>26</v>
      </c>
      <c r="N20" s="82" t="s">
        <v>27</v>
      </c>
      <c r="O20" s="82" t="s">
        <v>23</v>
      </c>
      <c r="P20" s="83" t="s">
        <v>22</v>
      </c>
      <c r="Q20" s="74" t="s">
        <v>15</v>
      </c>
      <c r="R20" s="74"/>
      <c r="S20" s="74"/>
      <c r="T20" s="74"/>
      <c r="U20" s="84" t="s">
        <v>35</v>
      </c>
    </row>
    <row r="21" spans="1:21" s="62" customFormat="1" ht="12.95" customHeight="1" x14ac:dyDescent="0.2">
      <c r="A21" s="70" t="s">
        <v>38</v>
      </c>
      <c r="C21" s="69">
        <v>51339.702599999997</v>
      </c>
      <c r="D21" s="69" t="s">
        <v>14</v>
      </c>
      <c r="E21" s="62">
        <f t="shared" ref="E21:E26" si="0">+(C21-C$7)/C$8</f>
        <v>0</v>
      </c>
      <c r="F21" s="62">
        <f t="shared" ref="F21:F28" si="1">ROUND(2*E21,0)/2</f>
        <v>0</v>
      </c>
      <c r="G21" s="62">
        <f t="shared" ref="G21:G26" si="2">+C21-(C$7+F21*C$8)</f>
        <v>0</v>
      </c>
      <c r="J21" s="62">
        <f>+G21</f>
        <v>0</v>
      </c>
      <c r="O21" s="62">
        <f t="shared" ref="O21:O26" ca="1" si="3">+C$11+C$12*$F21</f>
        <v>-4.0590306648454044E-3</v>
      </c>
      <c r="Q21" s="85">
        <f t="shared" ref="Q21:Q26" si="4">+C21-15018.5</f>
        <v>36321.202599999997</v>
      </c>
      <c r="R21" s="85"/>
      <c r="S21" s="85"/>
      <c r="T21" s="85"/>
    </row>
    <row r="22" spans="1:21" s="62" customFormat="1" ht="12.95" customHeight="1" x14ac:dyDescent="0.2">
      <c r="A22" s="31" t="s">
        <v>43</v>
      </c>
      <c r="B22" s="32" t="s">
        <v>44</v>
      </c>
      <c r="C22" s="31">
        <v>55655.4064</v>
      </c>
      <c r="D22" s="31">
        <v>4.0000000000000002E-4</v>
      </c>
      <c r="E22" s="62">
        <f t="shared" si="0"/>
        <v>2518.9882944052315</v>
      </c>
      <c r="F22" s="62">
        <f t="shared" si="1"/>
        <v>2519</v>
      </c>
      <c r="G22" s="62">
        <f t="shared" si="2"/>
        <v>-2.0054829132277519E-2</v>
      </c>
      <c r="K22" s="62">
        <f>+G22</f>
        <v>-2.0054829132277519E-2</v>
      </c>
      <c r="O22" s="62">
        <f t="shared" ca="1" si="3"/>
        <v>-1.7432147322152397E-2</v>
      </c>
      <c r="Q22" s="85">
        <f t="shared" si="4"/>
        <v>40636.9064</v>
      </c>
      <c r="R22" s="85"/>
      <c r="S22" s="85"/>
      <c r="T22" s="85"/>
    </row>
    <row r="23" spans="1:21" s="62" customFormat="1" ht="12.95" customHeight="1" x14ac:dyDescent="0.2">
      <c r="A23" s="86" t="str">
        <f>BAV!P15</f>
        <v>BAVM 225 </v>
      </c>
      <c r="B23" s="87" t="str">
        <f>IF(BAV!H15=INT(BAV!H15),"I","II")</f>
        <v>I</v>
      </c>
      <c r="C23" s="86">
        <f>1*BAV!G15</f>
        <v>55672.539499999999</v>
      </c>
      <c r="D23" s="88" t="str">
        <f>VLOOKUP(BAV!F15,BAV!I$1:J$5,2,FALSE)</f>
        <v>vis</v>
      </c>
      <c r="E23" s="62">
        <f t="shared" si="0"/>
        <v>2528.9885354659996</v>
      </c>
      <c r="F23" s="62">
        <f t="shared" si="1"/>
        <v>2529</v>
      </c>
      <c r="G23" s="62">
        <f t="shared" si="2"/>
        <v>-1.9641827260784339E-2</v>
      </c>
      <c r="K23" s="62">
        <f>+G23</f>
        <v>-1.9641827260784339E-2</v>
      </c>
      <c r="O23" s="62">
        <f t="shared" ca="1" si="3"/>
        <v>-1.7485236312455323E-2</v>
      </c>
      <c r="Q23" s="85">
        <f t="shared" si="4"/>
        <v>40654.039499999999</v>
      </c>
      <c r="R23" s="85"/>
      <c r="S23" s="85"/>
      <c r="T23" s="85"/>
    </row>
    <row r="24" spans="1:21" s="62" customFormat="1" ht="12.95" customHeight="1" x14ac:dyDescent="0.2">
      <c r="A24" s="89" t="s">
        <v>46</v>
      </c>
      <c r="B24" s="32" t="s">
        <v>44</v>
      </c>
      <c r="C24" s="31">
        <v>55691.383880000001</v>
      </c>
      <c r="D24" s="31">
        <v>2.0000000000000001E-4</v>
      </c>
      <c r="E24" s="62">
        <f t="shared" si="0"/>
        <v>2539.9876157632457</v>
      </c>
      <c r="F24" s="62">
        <f t="shared" si="1"/>
        <v>2540</v>
      </c>
      <c r="G24" s="62">
        <f t="shared" si="2"/>
        <v>-2.1217525201791432E-2</v>
      </c>
      <c r="K24" s="62">
        <f>+G24</f>
        <v>-2.1217525201791432E-2</v>
      </c>
      <c r="O24" s="62">
        <f t="shared" ca="1" si="3"/>
        <v>-1.754363420178854E-2</v>
      </c>
      <c r="Q24" s="85">
        <f t="shared" si="4"/>
        <v>40672.883880000001</v>
      </c>
      <c r="R24" s="85"/>
      <c r="S24" s="85"/>
      <c r="T24" s="85"/>
    </row>
    <row r="25" spans="1:21" s="62" customFormat="1" ht="12.95" customHeight="1" x14ac:dyDescent="0.2">
      <c r="A25" s="90" t="s">
        <v>45</v>
      </c>
      <c r="B25" s="91" t="s">
        <v>44</v>
      </c>
      <c r="C25" s="90">
        <v>56035.7523</v>
      </c>
      <c r="D25" s="90">
        <v>8.0000000000000004E-4</v>
      </c>
      <c r="E25" s="62">
        <f t="shared" si="0"/>
        <v>2740.9884395322033</v>
      </c>
      <c r="F25" s="62">
        <f t="shared" si="1"/>
        <v>2741</v>
      </c>
      <c r="G25" s="62">
        <f t="shared" si="2"/>
        <v>-1.9806187629001215E-2</v>
      </c>
      <c r="K25" s="62">
        <f>+G25</f>
        <v>-1.9806187629001215E-2</v>
      </c>
      <c r="O25" s="62">
        <f t="shared" ca="1" si="3"/>
        <v>-1.8610722906877347E-2</v>
      </c>
      <c r="Q25" s="85">
        <f t="shared" si="4"/>
        <v>41017.2523</v>
      </c>
      <c r="R25" s="85"/>
      <c r="S25" s="85"/>
      <c r="T25" s="85"/>
    </row>
    <row r="26" spans="1:21" s="62" customFormat="1" ht="12.95" customHeight="1" x14ac:dyDescent="0.2">
      <c r="A26" s="92" t="s">
        <v>47</v>
      </c>
      <c r="B26" s="93" t="s">
        <v>44</v>
      </c>
      <c r="C26" s="31">
        <v>56431.5167</v>
      </c>
      <c r="D26" s="94">
        <v>4.0000000000000002E-4</v>
      </c>
      <c r="E26" s="62">
        <f t="shared" si="0"/>
        <v>2971.9880486671746</v>
      </c>
      <c r="F26" s="62">
        <f t="shared" si="1"/>
        <v>2972</v>
      </c>
      <c r="G26" s="62">
        <f t="shared" si="2"/>
        <v>-2.0475844452448655E-2</v>
      </c>
      <c r="J26" s="62">
        <f>+G26</f>
        <v>-2.0475844452448655E-2</v>
      </c>
      <c r="O26" s="62">
        <f t="shared" ca="1" si="3"/>
        <v>-1.9837078582874937E-2</v>
      </c>
      <c r="Q26" s="85">
        <f t="shared" si="4"/>
        <v>41413.0167</v>
      </c>
      <c r="R26" s="85"/>
      <c r="S26" s="85"/>
      <c r="T26" s="85"/>
    </row>
    <row r="27" spans="1:21" s="62" customFormat="1" ht="12.95" customHeight="1" x14ac:dyDescent="0.2">
      <c r="A27" s="95" t="s">
        <v>0</v>
      </c>
      <c r="B27" s="96" t="s">
        <v>44</v>
      </c>
      <c r="C27" s="96">
        <v>57781.572699999997</v>
      </c>
      <c r="D27" s="96">
        <v>2.0000000000000001E-4</v>
      </c>
      <c r="E27" s="62">
        <f>+(C27-C$7)/C$8</f>
        <v>3759.9882030780354</v>
      </c>
      <c r="F27" s="62">
        <f t="shared" si="1"/>
        <v>3760</v>
      </c>
      <c r="G27" s="62">
        <f>+C27-(C$7+F27*C$8)</f>
        <v>-2.0211297152854968E-2</v>
      </c>
      <c r="K27" s="62">
        <f>+G27</f>
        <v>-2.0211297152854968E-2</v>
      </c>
      <c r="O27" s="62">
        <f ca="1">+C$11+C$12*$F27</f>
        <v>-2.4020491018745482E-2</v>
      </c>
      <c r="Q27" s="85">
        <f>+C27-15018.5</f>
        <v>42763.072699999997</v>
      </c>
      <c r="R27" s="85"/>
      <c r="S27" s="85"/>
      <c r="T27" s="85"/>
    </row>
    <row r="28" spans="1:21" s="62" customFormat="1" ht="12.95" customHeight="1" x14ac:dyDescent="0.2">
      <c r="A28" s="64" t="s">
        <v>88</v>
      </c>
      <c r="C28" s="69">
        <v>58951.726600000002</v>
      </c>
      <c r="D28" s="69">
        <v>2.9999999999999997E-4</v>
      </c>
      <c r="E28" s="62">
        <f>+(C28-C$7)/C$8</f>
        <v>4442.9831706086243</v>
      </c>
      <c r="F28" s="62">
        <f t="shared" si="1"/>
        <v>4443</v>
      </c>
      <c r="G28" s="62">
        <f>+C28-(C$7+F28*C$8)</f>
        <v>-2.8833269483584445E-2</v>
      </c>
      <c r="K28" s="62">
        <f>+G28</f>
        <v>-2.8833269483584445E-2</v>
      </c>
      <c r="O28" s="62">
        <f ca="1">+C$11+C$12*$F28</f>
        <v>-2.7646469056435308E-2</v>
      </c>
      <c r="Q28" s="85">
        <f>+C28-15018.5</f>
        <v>43933.226600000002</v>
      </c>
      <c r="R28" s="85"/>
      <c r="S28" s="85"/>
      <c r="T28" s="85"/>
    </row>
    <row r="29" spans="1:21" s="62" customFormat="1" ht="12.95" customHeight="1" x14ac:dyDescent="0.2">
      <c r="A29" s="59" t="s">
        <v>89</v>
      </c>
      <c r="B29" s="97" t="s">
        <v>44</v>
      </c>
      <c r="C29" s="98">
        <v>59662.735699999997</v>
      </c>
      <c r="D29" s="98">
        <v>2.9999999999999997E-4</v>
      </c>
      <c r="E29" s="62">
        <f>+(C29-C$7)/C$8</f>
        <v>4857.9846820922412</v>
      </c>
      <c r="F29" s="62">
        <f t="shared" ref="F29" si="5">ROUND(2*E29,0)/2</f>
        <v>4858</v>
      </c>
      <c r="G29" s="62">
        <f>+C29-(C$7+F29*C$8)</f>
        <v>-2.6243691907438915E-2</v>
      </c>
      <c r="K29" s="62">
        <f>+G29</f>
        <v>-2.6243691907438915E-2</v>
      </c>
      <c r="O29" s="62">
        <f ca="1">+C$11+C$12*$F29</f>
        <v>-2.984966215400673E-2</v>
      </c>
      <c r="Q29" s="85">
        <f>+C29-15018.5</f>
        <v>44644.235699999997</v>
      </c>
      <c r="R29" s="85"/>
      <c r="S29" s="85"/>
      <c r="T29" s="85"/>
    </row>
    <row r="30" spans="1:21" s="62" customFormat="1" ht="12.95" customHeight="1" x14ac:dyDescent="0.2">
      <c r="C30" s="69"/>
      <c r="D30" s="69"/>
      <c r="Q30" s="85"/>
      <c r="R30" s="85"/>
      <c r="S30" s="85"/>
      <c r="T30" s="85"/>
    </row>
    <row r="31" spans="1:21" s="62" customFormat="1" ht="12.95" customHeight="1" x14ac:dyDescent="0.2">
      <c r="C31" s="69"/>
      <c r="D31" s="69"/>
      <c r="Q31" s="85"/>
      <c r="R31" s="85"/>
      <c r="S31" s="85"/>
      <c r="T31" s="85"/>
    </row>
    <row r="32" spans="1:21" s="62" customFormat="1" ht="12.95" customHeight="1" x14ac:dyDescent="0.2">
      <c r="C32" s="69"/>
      <c r="D32" s="69"/>
      <c r="Q32" s="85"/>
      <c r="R32" s="85"/>
      <c r="S32" s="85"/>
      <c r="T32" s="85"/>
    </row>
    <row r="33" spans="3:20" s="62" customFormat="1" ht="12.95" customHeight="1" x14ac:dyDescent="0.2">
      <c r="C33" s="69"/>
      <c r="D33" s="69"/>
      <c r="Q33" s="85"/>
      <c r="R33" s="85"/>
      <c r="S33" s="85"/>
      <c r="T33" s="85"/>
    </row>
    <row r="34" spans="3:20" s="62" customFormat="1" ht="12.95" customHeight="1" x14ac:dyDescent="0.2">
      <c r="C34" s="69"/>
      <c r="D34" s="69"/>
    </row>
    <row r="35" spans="3:20" s="62" customFormat="1" ht="12.95" customHeight="1" x14ac:dyDescent="0.2">
      <c r="C35" s="69"/>
      <c r="D35" s="69"/>
    </row>
    <row r="36" spans="3:20" s="62" customFormat="1" ht="12.95" customHeight="1" x14ac:dyDescent="0.2">
      <c r="C36" s="69"/>
      <c r="D36" s="69"/>
    </row>
    <row r="37" spans="3:20" s="62" customFormat="1" ht="12.95" customHeight="1" x14ac:dyDescent="0.2">
      <c r="C37" s="69"/>
      <c r="D37" s="69"/>
    </row>
    <row r="38" spans="3:20" s="62" customFormat="1" ht="12.95" customHeight="1" x14ac:dyDescent="0.2">
      <c r="C38" s="69"/>
      <c r="D38" s="69"/>
    </row>
    <row r="39" spans="3:20" s="62" customFormat="1" ht="12.95" customHeight="1" x14ac:dyDescent="0.2">
      <c r="C39" s="69"/>
      <c r="D39" s="69"/>
    </row>
    <row r="40" spans="3:20" s="62" customFormat="1" ht="12.95" customHeight="1" x14ac:dyDescent="0.2">
      <c r="C40" s="69"/>
      <c r="D40" s="69"/>
    </row>
    <row r="41" spans="3:20" s="62" customFormat="1" ht="12.95" customHeight="1" x14ac:dyDescent="0.2">
      <c r="C41" s="69"/>
      <c r="D41" s="69"/>
    </row>
    <row r="42" spans="3:20" s="62" customFormat="1" ht="12.95" customHeight="1" x14ac:dyDescent="0.2">
      <c r="C42" s="69"/>
      <c r="D42" s="69"/>
    </row>
    <row r="43" spans="3:20" s="62" customFormat="1" ht="12.95" customHeight="1" x14ac:dyDescent="0.2">
      <c r="C43" s="69"/>
      <c r="D43" s="69"/>
    </row>
    <row r="44" spans="3:20" s="62" customFormat="1" ht="12.95" customHeight="1" x14ac:dyDescent="0.2">
      <c r="C44" s="69"/>
      <c r="D44" s="69"/>
    </row>
    <row r="45" spans="3:20" s="62" customFormat="1" ht="12.95" customHeight="1" x14ac:dyDescent="0.2">
      <c r="C45" s="69"/>
      <c r="D45" s="69"/>
    </row>
    <row r="46" spans="3:20" s="62" customFormat="1" ht="12.95" customHeight="1" x14ac:dyDescent="0.2">
      <c r="C46" s="69"/>
      <c r="D46" s="69"/>
    </row>
    <row r="47" spans="3:20" s="62" customFormat="1" ht="12.95" customHeight="1" x14ac:dyDescent="0.2">
      <c r="C47" s="69"/>
      <c r="D47" s="69"/>
    </row>
    <row r="48" spans="3:20" s="62" customFormat="1" ht="12.95" customHeight="1" x14ac:dyDescent="0.2">
      <c r="C48" s="69"/>
      <c r="D48" s="69"/>
    </row>
    <row r="49" spans="3:4" s="62" customFormat="1" ht="12.95" customHeight="1" x14ac:dyDescent="0.2">
      <c r="C49" s="69"/>
      <c r="D49" s="69"/>
    </row>
    <row r="50" spans="3:4" s="62" customFormat="1" ht="12.95" customHeight="1" x14ac:dyDescent="0.2">
      <c r="C50" s="69"/>
      <c r="D50" s="69"/>
    </row>
    <row r="51" spans="3:4" s="62" customFormat="1" ht="12.95" customHeight="1" x14ac:dyDescent="0.2">
      <c r="C51" s="69"/>
      <c r="D51" s="69"/>
    </row>
    <row r="52" spans="3:4" s="62" customFormat="1" ht="12.95" customHeight="1" x14ac:dyDescent="0.2">
      <c r="C52" s="69"/>
      <c r="D52" s="69"/>
    </row>
    <row r="53" spans="3:4" s="62" customFormat="1" ht="12.95" customHeight="1" x14ac:dyDescent="0.2">
      <c r="C53" s="69"/>
      <c r="D53" s="69"/>
    </row>
    <row r="54" spans="3:4" s="62" customFormat="1" ht="12.95" customHeight="1" x14ac:dyDescent="0.2">
      <c r="C54" s="69"/>
      <c r="D54" s="69"/>
    </row>
    <row r="55" spans="3:4" s="62" customFormat="1" ht="12.95" customHeight="1" x14ac:dyDescent="0.2">
      <c r="C55" s="69"/>
      <c r="D55" s="69"/>
    </row>
    <row r="56" spans="3:4" s="62" customFormat="1" ht="12.95" customHeight="1" x14ac:dyDescent="0.2">
      <c r="C56" s="69"/>
      <c r="D56" s="69"/>
    </row>
    <row r="57" spans="3:4" s="62" customFormat="1" ht="12.95" customHeight="1" x14ac:dyDescent="0.2">
      <c r="C57" s="69"/>
      <c r="D57" s="69"/>
    </row>
    <row r="58" spans="3:4" s="62" customFormat="1" ht="12.95" customHeight="1" x14ac:dyDescent="0.2">
      <c r="C58" s="69"/>
      <c r="D58" s="69"/>
    </row>
    <row r="59" spans="3:4" s="62" customFormat="1" ht="12.95" customHeight="1" x14ac:dyDescent="0.2">
      <c r="C59" s="69"/>
      <c r="D59" s="69"/>
    </row>
    <row r="60" spans="3:4" s="62" customFormat="1" ht="12.95" customHeight="1" x14ac:dyDescent="0.2">
      <c r="C60" s="69"/>
      <c r="D60" s="69"/>
    </row>
    <row r="61" spans="3:4" s="62" customFormat="1" ht="12.95" customHeight="1" x14ac:dyDescent="0.2">
      <c r="C61" s="69"/>
      <c r="D61" s="69"/>
    </row>
    <row r="62" spans="3:4" s="62" customFormat="1" ht="12.95" customHeight="1" x14ac:dyDescent="0.2">
      <c r="C62" s="69"/>
      <c r="D62" s="69"/>
    </row>
    <row r="63" spans="3:4" s="62" customFormat="1" ht="12.95" customHeight="1" x14ac:dyDescent="0.2">
      <c r="C63" s="69"/>
      <c r="D63" s="69"/>
    </row>
    <row r="64" spans="3:4" s="62" customFormat="1" ht="12.95" customHeight="1" x14ac:dyDescent="0.2">
      <c r="C64" s="69"/>
      <c r="D64" s="69"/>
    </row>
    <row r="65" spans="3:4" s="62" customFormat="1" ht="12.95" customHeight="1" x14ac:dyDescent="0.2">
      <c r="C65" s="69"/>
      <c r="D65" s="69"/>
    </row>
    <row r="66" spans="3:4" s="62" customFormat="1" ht="12.95" customHeight="1" x14ac:dyDescent="0.2">
      <c r="C66" s="69"/>
      <c r="D66" s="69"/>
    </row>
    <row r="67" spans="3:4" s="62" customFormat="1" ht="12.95" customHeight="1" x14ac:dyDescent="0.2">
      <c r="C67" s="69"/>
      <c r="D67" s="69"/>
    </row>
    <row r="68" spans="3:4" s="62" customFormat="1" ht="12.95" customHeight="1" x14ac:dyDescent="0.2">
      <c r="C68" s="69"/>
      <c r="D68" s="69"/>
    </row>
    <row r="69" spans="3:4" s="62" customFormat="1" ht="12.95" customHeight="1" x14ac:dyDescent="0.2">
      <c r="C69" s="69"/>
      <c r="D69" s="69"/>
    </row>
    <row r="70" spans="3:4" s="62" customFormat="1" ht="12.95" customHeight="1" x14ac:dyDescent="0.2">
      <c r="C70" s="69"/>
      <c r="D70" s="69"/>
    </row>
    <row r="71" spans="3:4" s="62" customFormat="1" ht="12.95" customHeight="1" x14ac:dyDescent="0.2">
      <c r="C71" s="69"/>
      <c r="D71" s="69"/>
    </row>
    <row r="72" spans="3:4" s="62" customFormat="1" ht="12.95" customHeight="1" x14ac:dyDescent="0.2">
      <c r="C72" s="69"/>
      <c r="D72" s="69"/>
    </row>
    <row r="73" spans="3:4" s="62" customFormat="1" ht="12.95" customHeight="1" x14ac:dyDescent="0.2">
      <c r="C73" s="69"/>
      <c r="D73" s="69"/>
    </row>
    <row r="74" spans="3:4" s="62" customFormat="1" ht="12.95" customHeight="1" x14ac:dyDescent="0.2">
      <c r="C74" s="69"/>
      <c r="D74" s="69"/>
    </row>
    <row r="75" spans="3:4" s="62" customFormat="1" ht="12.95" customHeight="1" x14ac:dyDescent="0.2">
      <c r="C75" s="69"/>
      <c r="D75" s="69"/>
    </row>
    <row r="76" spans="3:4" s="62" customFormat="1" ht="12.95" customHeight="1" x14ac:dyDescent="0.2">
      <c r="C76" s="69"/>
      <c r="D76" s="69"/>
    </row>
    <row r="77" spans="3:4" s="62" customFormat="1" ht="12.95" customHeight="1" x14ac:dyDescent="0.2">
      <c r="C77" s="69"/>
      <c r="D77" s="69"/>
    </row>
    <row r="78" spans="3:4" s="62" customFormat="1" ht="12.95" customHeight="1" x14ac:dyDescent="0.2">
      <c r="C78" s="69"/>
      <c r="D78" s="69"/>
    </row>
    <row r="79" spans="3:4" s="62" customFormat="1" ht="12.95" customHeight="1" x14ac:dyDescent="0.2">
      <c r="C79" s="69"/>
      <c r="D79" s="69"/>
    </row>
    <row r="80" spans="3:4" s="62" customFormat="1" ht="12.95" customHeight="1" x14ac:dyDescent="0.2">
      <c r="C80" s="69"/>
      <c r="D80" s="69"/>
    </row>
    <row r="81" spans="3:4" s="62" customFormat="1" ht="12.95" customHeight="1" x14ac:dyDescent="0.2">
      <c r="C81" s="69"/>
      <c r="D81" s="69"/>
    </row>
    <row r="82" spans="3:4" s="62" customFormat="1" ht="12.95" customHeight="1" x14ac:dyDescent="0.2">
      <c r="C82" s="69"/>
      <c r="D82" s="69"/>
    </row>
    <row r="83" spans="3:4" s="62" customFormat="1" ht="12.95" customHeight="1" x14ac:dyDescent="0.2">
      <c r="C83" s="69"/>
      <c r="D83" s="69"/>
    </row>
    <row r="84" spans="3:4" s="62" customFormat="1" ht="12.95" customHeight="1" x14ac:dyDescent="0.2">
      <c r="C84" s="69"/>
      <c r="D84" s="69"/>
    </row>
    <row r="85" spans="3:4" s="62" customFormat="1" ht="12.95" customHeight="1" x14ac:dyDescent="0.2">
      <c r="C85" s="69"/>
      <c r="D85" s="69"/>
    </row>
    <row r="86" spans="3:4" s="62" customFormat="1" ht="12.95" customHeight="1" x14ac:dyDescent="0.2">
      <c r="C86" s="69"/>
      <c r="D86" s="69"/>
    </row>
    <row r="87" spans="3:4" s="62" customFormat="1" ht="12.95" customHeight="1" x14ac:dyDescent="0.2">
      <c r="C87" s="69"/>
      <c r="D87" s="69"/>
    </row>
    <row r="88" spans="3:4" s="62" customFormat="1" ht="12.95" customHeight="1" x14ac:dyDescent="0.2">
      <c r="C88" s="69"/>
      <c r="D88" s="69"/>
    </row>
    <row r="89" spans="3:4" s="62" customFormat="1" ht="12.95" customHeight="1" x14ac:dyDescent="0.2">
      <c r="C89" s="69"/>
      <c r="D89" s="69"/>
    </row>
    <row r="90" spans="3:4" s="62" customFormat="1" ht="12.95" customHeight="1" x14ac:dyDescent="0.2">
      <c r="C90" s="69"/>
      <c r="D90" s="69"/>
    </row>
    <row r="91" spans="3:4" s="62" customFormat="1" ht="12.95" customHeight="1" x14ac:dyDescent="0.2">
      <c r="C91" s="69"/>
      <c r="D91" s="69"/>
    </row>
    <row r="92" spans="3:4" s="62" customFormat="1" ht="12.95" customHeight="1" x14ac:dyDescent="0.2">
      <c r="C92" s="69"/>
      <c r="D92" s="69"/>
    </row>
    <row r="93" spans="3:4" s="62" customFormat="1" ht="12.95" customHeight="1" x14ac:dyDescent="0.2">
      <c r="C93" s="69"/>
      <c r="D93" s="69"/>
    </row>
    <row r="94" spans="3:4" s="62" customFormat="1" ht="12.95" customHeight="1" x14ac:dyDescent="0.2">
      <c r="C94" s="69"/>
      <c r="D94" s="69"/>
    </row>
    <row r="95" spans="3:4" s="62" customFormat="1" ht="12.95" customHeight="1" x14ac:dyDescent="0.2">
      <c r="C95" s="69"/>
      <c r="D95" s="69"/>
    </row>
    <row r="96" spans="3:4" s="62" customFormat="1" ht="12.95" customHeight="1" x14ac:dyDescent="0.2">
      <c r="C96" s="69"/>
      <c r="D96" s="69"/>
    </row>
    <row r="97" spans="3:4" s="62" customFormat="1" ht="12.95" customHeight="1" x14ac:dyDescent="0.2">
      <c r="C97" s="69"/>
      <c r="D97" s="69"/>
    </row>
    <row r="98" spans="3:4" s="62" customFormat="1" ht="12.95" customHeight="1" x14ac:dyDescent="0.2">
      <c r="C98" s="69"/>
      <c r="D98" s="69"/>
    </row>
    <row r="99" spans="3:4" s="62" customFormat="1" ht="12.95" customHeight="1" x14ac:dyDescent="0.2">
      <c r="C99" s="69"/>
      <c r="D99" s="69"/>
    </row>
    <row r="100" spans="3:4" s="62" customFormat="1" ht="12.95" customHeight="1" x14ac:dyDescent="0.2">
      <c r="C100" s="69"/>
      <c r="D100" s="69"/>
    </row>
    <row r="101" spans="3:4" s="62" customFormat="1" ht="12.95" customHeight="1" x14ac:dyDescent="0.2">
      <c r="C101" s="69"/>
      <c r="D101" s="69"/>
    </row>
    <row r="102" spans="3:4" s="62" customFormat="1" ht="12.95" customHeight="1" x14ac:dyDescent="0.2">
      <c r="C102" s="69"/>
      <c r="D102" s="69"/>
    </row>
    <row r="103" spans="3:4" s="62" customFormat="1" ht="12.95" customHeight="1" x14ac:dyDescent="0.2">
      <c r="C103" s="69"/>
      <c r="D103" s="69"/>
    </row>
    <row r="104" spans="3:4" s="62" customFormat="1" ht="12.95" customHeight="1" x14ac:dyDescent="0.2">
      <c r="C104" s="69"/>
      <c r="D104" s="69"/>
    </row>
    <row r="105" spans="3:4" s="62" customFormat="1" ht="12.95" customHeight="1" x14ac:dyDescent="0.2">
      <c r="C105" s="69"/>
      <c r="D105" s="69"/>
    </row>
    <row r="106" spans="3:4" s="62" customFormat="1" ht="12.95" customHeight="1" x14ac:dyDescent="0.2">
      <c r="C106" s="69"/>
      <c r="D106" s="69"/>
    </row>
    <row r="107" spans="3:4" s="62" customFormat="1" ht="12.95" customHeight="1" x14ac:dyDescent="0.2">
      <c r="C107" s="69"/>
      <c r="D107" s="69"/>
    </row>
    <row r="108" spans="3:4" s="62" customFormat="1" ht="12.95" customHeight="1" x14ac:dyDescent="0.2">
      <c r="C108" s="69"/>
      <c r="D108" s="69"/>
    </row>
    <row r="109" spans="3:4" s="62" customFormat="1" ht="12.95" customHeight="1" x14ac:dyDescent="0.2">
      <c r="C109" s="69"/>
      <c r="D109" s="69"/>
    </row>
    <row r="110" spans="3:4" s="62" customFormat="1" ht="12.95" customHeight="1" x14ac:dyDescent="0.2">
      <c r="C110" s="69"/>
      <c r="D110" s="69"/>
    </row>
    <row r="111" spans="3:4" s="62" customFormat="1" ht="12.95" customHeight="1" x14ac:dyDescent="0.2">
      <c r="C111" s="69"/>
      <c r="D111" s="69"/>
    </row>
    <row r="112" spans="3:4" s="62" customFormat="1" ht="12.95" customHeight="1" x14ac:dyDescent="0.2">
      <c r="C112" s="69"/>
      <c r="D112" s="69"/>
    </row>
    <row r="113" spans="3:4" s="62" customFormat="1" ht="12.95" customHeight="1" x14ac:dyDescent="0.2">
      <c r="C113" s="69"/>
      <c r="D113" s="69"/>
    </row>
    <row r="114" spans="3:4" s="62" customFormat="1" ht="12.95" customHeight="1" x14ac:dyDescent="0.2">
      <c r="C114" s="69"/>
      <c r="D114" s="69"/>
    </row>
    <row r="115" spans="3:4" s="62" customFormat="1" ht="12.95" customHeight="1" x14ac:dyDescent="0.2">
      <c r="C115" s="69"/>
      <c r="D115" s="69"/>
    </row>
    <row r="116" spans="3:4" s="62" customFormat="1" ht="12.95" customHeight="1" x14ac:dyDescent="0.2">
      <c r="C116" s="69"/>
      <c r="D116" s="69"/>
    </row>
    <row r="117" spans="3:4" s="62" customFormat="1" ht="12.95" customHeight="1" x14ac:dyDescent="0.2">
      <c r="C117" s="69"/>
      <c r="D117" s="69"/>
    </row>
    <row r="118" spans="3:4" s="62" customFormat="1" ht="12.95" customHeight="1" x14ac:dyDescent="0.2">
      <c r="C118" s="69"/>
      <c r="D118" s="69"/>
    </row>
    <row r="119" spans="3:4" s="62" customFormat="1" ht="12.95" customHeight="1" x14ac:dyDescent="0.2">
      <c r="C119" s="69"/>
      <c r="D119" s="69"/>
    </row>
    <row r="120" spans="3:4" s="62" customFormat="1" ht="12.95" customHeight="1" x14ac:dyDescent="0.2">
      <c r="C120" s="69"/>
      <c r="D120" s="69"/>
    </row>
    <row r="121" spans="3:4" s="62" customFormat="1" ht="12.95" customHeight="1" x14ac:dyDescent="0.2">
      <c r="C121" s="69"/>
      <c r="D121" s="69"/>
    </row>
    <row r="122" spans="3:4" s="62" customFormat="1" ht="12.95" customHeight="1" x14ac:dyDescent="0.2">
      <c r="C122" s="69"/>
      <c r="D122" s="69"/>
    </row>
    <row r="123" spans="3:4" s="62" customFormat="1" ht="12.95" customHeight="1" x14ac:dyDescent="0.2">
      <c r="C123" s="69"/>
      <c r="D123" s="69"/>
    </row>
    <row r="124" spans="3:4" s="62" customFormat="1" ht="12.95" customHeight="1" x14ac:dyDescent="0.2">
      <c r="C124" s="69"/>
      <c r="D124" s="69"/>
    </row>
    <row r="125" spans="3:4" s="62" customFormat="1" ht="12.95" customHeight="1" x14ac:dyDescent="0.2">
      <c r="C125" s="69"/>
      <c r="D125" s="69"/>
    </row>
    <row r="126" spans="3:4" s="62" customFormat="1" ht="12.95" customHeight="1" x14ac:dyDescent="0.2">
      <c r="C126" s="69"/>
      <c r="D126" s="69"/>
    </row>
    <row r="127" spans="3:4" s="62" customFormat="1" ht="12.95" customHeight="1" x14ac:dyDescent="0.2">
      <c r="C127" s="69"/>
      <c r="D127" s="69"/>
    </row>
    <row r="128" spans="3:4" s="62" customFormat="1" ht="12.95" customHeight="1" x14ac:dyDescent="0.2">
      <c r="C128" s="69"/>
      <c r="D128" s="69"/>
    </row>
    <row r="129" spans="3:4" s="62" customFormat="1" ht="12.95" customHeight="1" x14ac:dyDescent="0.2">
      <c r="C129" s="69"/>
      <c r="D129" s="69"/>
    </row>
    <row r="130" spans="3:4" s="62" customFormat="1" ht="12.95" customHeight="1" x14ac:dyDescent="0.2">
      <c r="C130" s="69"/>
      <c r="D130" s="69"/>
    </row>
    <row r="131" spans="3:4" s="62" customFormat="1" ht="12.95" customHeight="1" x14ac:dyDescent="0.2">
      <c r="C131" s="69"/>
      <c r="D131" s="69"/>
    </row>
    <row r="132" spans="3:4" s="62" customFormat="1" ht="12.95" customHeight="1" x14ac:dyDescent="0.2">
      <c r="C132" s="69"/>
      <c r="D132" s="69"/>
    </row>
    <row r="133" spans="3:4" s="62" customFormat="1" ht="12.95" customHeight="1" x14ac:dyDescent="0.2">
      <c r="C133" s="69"/>
      <c r="D133" s="69"/>
    </row>
    <row r="134" spans="3:4" s="62" customFormat="1" ht="12.95" customHeight="1" x14ac:dyDescent="0.2">
      <c r="C134" s="69"/>
      <c r="D134" s="69"/>
    </row>
    <row r="135" spans="3:4" s="62" customFormat="1" ht="12.95" customHeight="1" x14ac:dyDescent="0.2">
      <c r="C135" s="69"/>
      <c r="D135" s="69"/>
    </row>
    <row r="136" spans="3:4" s="62" customFormat="1" ht="12.95" customHeight="1" x14ac:dyDescent="0.2">
      <c r="C136" s="69"/>
      <c r="D136" s="69"/>
    </row>
    <row r="137" spans="3:4" s="62" customFormat="1" ht="12.95" customHeight="1" x14ac:dyDescent="0.2">
      <c r="C137" s="69"/>
      <c r="D137" s="69"/>
    </row>
    <row r="138" spans="3:4" s="62" customFormat="1" ht="12.95" customHeight="1" x14ac:dyDescent="0.2">
      <c r="C138" s="69"/>
      <c r="D138" s="69"/>
    </row>
    <row r="139" spans="3:4" s="62" customFormat="1" ht="12.95" customHeight="1" x14ac:dyDescent="0.2">
      <c r="C139" s="69"/>
      <c r="D139" s="69"/>
    </row>
    <row r="140" spans="3:4" s="62" customFormat="1" ht="12.95" customHeight="1" x14ac:dyDescent="0.2">
      <c r="C140" s="69"/>
      <c r="D140" s="69"/>
    </row>
    <row r="141" spans="3:4" s="62" customFormat="1" ht="12.95" customHeight="1" x14ac:dyDescent="0.2">
      <c r="C141" s="69"/>
      <c r="D141" s="69"/>
    </row>
    <row r="142" spans="3:4" s="62" customFormat="1" ht="12.95" customHeight="1" x14ac:dyDescent="0.2">
      <c r="C142" s="69"/>
      <c r="D142" s="69"/>
    </row>
    <row r="143" spans="3:4" s="62" customFormat="1" ht="12.95" customHeight="1" x14ac:dyDescent="0.2">
      <c r="C143" s="69"/>
      <c r="D143" s="69"/>
    </row>
    <row r="144" spans="3:4" s="62" customFormat="1" ht="12.95" customHeight="1" x14ac:dyDescent="0.2">
      <c r="C144" s="69"/>
      <c r="D144" s="69"/>
    </row>
    <row r="145" spans="3:4" s="62" customFormat="1" ht="12.95" customHeight="1" x14ac:dyDescent="0.2">
      <c r="C145" s="69"/>
      <c r="D145" s="69"/>
    </row>
    <row r="146" spans="3:4" s="62" customFormat="1" ht="12.95" customHeight="1" x14ac:dyDescent="0.2">
      <c r="C146" s="69"/>
      <c r="D146" s="69"/>
    </row>
    <row r="147" spans="3:4" s="62" customFormat="1" ht="12.95" customHeight="1" x14ac:dyDescent="0.2">
      <c r="C147" s="69"/>
      <c r="D147" s="69"/>
    </row>
    <row r="148" spans="3:4" s="62" customFormat="1" ht="12.95" customHeight="1" x14ac:dyDescent="0.2">
      <c r="C148" s="69"/>
      <c r="D148" s="69"/>
    </row>
    <row r="149" spans="3:4" s="62" customFormat="1" ht="12.95" customHeight="1" x14ac:dyDescent="0.2">
      <c r="C149" s="69"/>
      <c r="D149" s="69"/>
    </row>
    <row r="150" spans="3:4" s="62" customFormat="1" ht="12.95" customHeight="1" x14ac:dyDescent="0.2">
      <c r="C150" s="69"/>
      <c r="D150" s="69"/>
    </row>
    <row r="151" spans="3:4" s="62" customFormat="1" ht="12.95" customHeight="1" x14ac:dyDescent="0.2">
      <c r="C151" s="69"/>
      <c r="D151" s="69"/>
    </row>
    <row r="152" spans="3:4" s="62" customFormat="1" ht="12.95" customHeight="1" x14ac:dyDescent="0.2">
      <c r="C152" s="69"/>
      <c r="D152" s="69"/>
    </row>
    <row r="153" spans="3:4" s="62" customFormat="1" ht="12.95" customHeight="1" x14ac:dyDescent="0.2">
      <c r="C153" s="69"/>
      <c r="D153" s="69"/>
    </row>
    <row r="154" spans="3:4" s="62" customFormat="1" ht="12.95" customHeight="1" x14ac:dyDescent="0.2">
      <c r="C154" s="69"/>
      <c r="D154" s="69"/>
    </row>
    <row r="155" spans="3:4" s="62" customFormat="1" ht="12.95" customHeight="1" x14ac:dyDescent="0.2">
      <c r="C155" s="69"/>
      <c r="D155" s="69"/>
    </row>
    <row r="156" spans="3:4" s="62" customFormat="1" ht="12.95" customHeight="1" x14ac:dyDescent="0.2">
      <c r="C156" s="69"/>
      <c r="D156" s="69"/>
    </row>
    <row r="157" spans="3:4" s="62" customFormat="1" ht="12.95" customHeight="1" x14ac:dyDescent="0.2">
      <c r="C157" s="69"/>
      <c r="D157" s="69"/>
    </row>
    <row r="158" spans="3:4" s="62" customFormat="1" ht="12.95" customHeight="1" x14ac:dyDescent="0.2">
      <c r="C158" s="69"/>
      <c r="D158" s="69"/>
    </row>
    <row r="159" spans="3:4" s="62" customFormat="1" ht="12.95" customHeight="1" x14ac:dyDescent="0.2">
      <c r="C159" s="69"/>
      <c r="D159" s="69"/>
    </row>
    <row r="160" spans="3:4" s="62" customFormat="1" ht="12.95" customHeight="1" x14ac:dyDescent="0.2">
      <c r="C160" s="69"/>
      <c r="D160" s="69"/>
    </row>
    <row r="161" spans="3:4" s="62" customFormat="1" ht="12.95" customHeight="1" x14ac:dyDescent="0.2">
      <c r="C161" s="69"/>
      <c r="D161" s="69"/>
    </row>
    <row r="162" spans="3:4" s="62" customFormat="1" ht="12.95" customHeight="1" x14ac:dyDescent="0.2">
      <c r="C162" s="69"/>
      <c r="D162" s="69"/>
    </row>
    <row r="163" spans="3:4" s="62" customFormat="1" ht="12.95" customHeight="1" x14ac:dyDescent="0.2">
      <c r="C163" s="69"/>
      <c r="D163" s="69"/>
    </row>
    <row r="164" spans="3:4" s="62" customFormat="1" ht="12.95" customHeight="1" x14ac:dyDescent="0.2">
      <c r="C164" s="69"/>
      <c r="D164" s="69"/>
    </row>
    <row r="165" spans="3:4" s="62" customFormat="1" ht="12.95" customHeight="1" x14ac:dyDescent="0.2">
      <c r="C165" s="69"/>
      <c r="D165" s="69"/>
    </row>
    <row r="166" spans="3:4" s="62" customFormat="1" ht="12.95" customHeight="1" x14ac:dyDescent="0.2">
      <c r="C166" s="69"/>
      <c r="D166" s="69"/>
    </row>
    <row r="167" spans="3:4" s="62" customFormat="1" ht="12.95" customHeight="1" x14ac:dyDescent="0.2">
      <c r="C167" s="69"/>
      <c r="D167" s="69"/>
    </row>
    <row r="168" spans="3:4" s="62" customFormat="1" ht="12.95" customHeight="1" x14ac:dyDescent="0.2">
      <c r="C168" s="69"/>
      <c r="D168" s="69"/>
    </row>
    <row r="169" spans="3:4" s="62" customFormat="1" ht="12.95" customHeight="1" x14ac:dyDescent="0.2">
      <c r="C169" s="69"/>
      <c r="D169" s="69"/>
    </row>
    <row r="170" spans="3:4" s="62" customFormat="1" ht="12.95" customHeight="1" x14ac:dyDescent="0.2">
      <c r="C170" s="69"/>
      <c r="D170" s="69"/>
    </row>
    <row r="171" spans="3:4" s="62" customFormat="1" ht="12.95" customHeight="1" x14ac:dyDescent="0.2">
      <c r="C171" s="69"/>
      <c r="D171" s="69"/>
    </row>
    <row r="172" spans="3:4" s="62" customFormat="1" ht="12.95" customHeight="1" x14ac:dyDescent="0.2">
      <c r="C172" s="69"/>
      <c r="D172" s="69"/>
    </row>
    <row r="173" spans="3:4" s="62" customFormat="1" ht="12.95" customHeight="1" x14ac:dyDescent="0.2">
      <c r="C173" s="69"/>
      <c r="D173" s="69"/>
    </row>
    <row r="174" spans="3:4" s="62" customFormat="1" ht="12.95" customHeight="1" x14ac:dyDescent="0.2">
      <c r="C174" s="69"/>
      <c r="D174" s="69"/>
    </row>
    <row r="175" spans="3:4" s="62" customFormat="1" ht="12.95" customHeight="1" x14ac:dyDescent="0.2">
      <c r="C175" s="69"/>
      <c r="D175" s="69"/>
    </row>
    <row r="176" spans="3:4" s="62" customFormat="1" ht="12.95" customHeight="1" x14ac:dyDescent="0.2">
      <c r="C176" s="69"/>
      <c r="D176" s="69"/>
    </row>
    <row r="177" spans="3:4" s="62" customFormat="1" ht="12.95" customHeight="1" x14ac:dyDescent="0.2">
      <c r="C177" s="69"/>
      <c r="D177" s="69"/>
    </row>
    <row r="178" spans="3:4" s="62" customFormat="1" ht="12.95" customHeight="1" x14ac:dyDescent="0.2">
      <c r="C178" s="69"/>
      <c r="D178" s="69"/>
    </row>
    <row r="179" spans="3:4" s="62" customFormat="1" ht="12.95" customHeight="1" x14ac:dyDescent="0.2">
      <c r="C179" s="69"/>
      <c r="D179" s="69"/>
    </row>
    <row r="180" spans="3:4" s="62" customFormat="1" ht="12.95" customHeight="1" x14ac:dyDescent="0.2">
      <c r="C180" s="69"/>
      <c r="D180" s="69"/>
    </row>
    <row r="181" spans="3:4" s="62" customFormat="1" ht="12.95" customHeight="1" x14ac:dyDescent="0.2">
      <c r="C181" s="69"/>
      <c r="D181" s="69"/>
    </row>
    <row r="182" spans="3:4" s="62" customFormat="1" ht="12.95" customHeight="1" x14ac:dyDescent="0.2">
      <c r="C182" s="69"/>
      <c r="D182" s="69"/>
    </row>
    <row r="183" spans="3:4" s="62" customFormat="1" ht="12.95" customHeight="1" x14ac:dyDescent="0.2">
      <c r="C183" s="69"/>
      <c r="D183" s="69"/>
    </row>
    <row r="184" spans="3:4" s="62" customFormat="1" ht="12.95" customHeight="1" x14ac:dyDescent="0.2">
      <c r="C184" s="69"/>
      <c r="D184" s="69"/>
    </row>
    <row r="185" spans="3:4" s="62" customFormat="1" ht="12.95" customHeight="1" x14ac:dyDescent="0.2">
      <c r="C185" s="69"/>
      <c r="D185" s="69"/>
    </row>
    <row r="186" spans="3:4" s="62" customFormat="1" ht="12.95" customHeight="1" x14ac:dyDescent="0.2">
      <c r="C186" s="69"/>
      <c r="D186" s="69"/>
    </row>
    <row r="187" spans="3:4" s="62" customFormat="1" ht="12.95" customHeight="1" x14ac:dyDescent="0.2">
      <c r="C187" s="69"/>
      <c r="D187" s="69"/>
    </row>
    <row r="188" spans="3:4" s="62" customFormat="1" ht="12.95" customHeight="1" x14ac:dyDescent="0.2">
      <c r="C188" s="69"/>
      <c r="D188" s="69"/>
    </row>
    <row r="189" spans="3:4" s="62" customFormat="1" ht="12.95" customHeight="1" x14ac:dyDescent="0.2">
      <c r="C189" s="69"/>
      <c r="D189" s="69"/>
    </row>
    <row r="190" spans="3:4" s="62" customFormat="1" ht="12.95" customHeight="1" x14ac:dyDescent="0.2">
      <c r="C190" s="69"/>
      <c r="D190" s="69"/>
    </row>
    <row r="191" spans="3:4" s="62" customFormat="1" ht="12.95" customHeight="1" x14ac:dyDescent="0.2">
      <c r="C191" s="69"/>
      <c r="D191" s="69"/>
    </row>
    <row r="192" spans="3:4" s="62" customFormat="1" ht="12.95" customHeight="1" x14ac:dyDescent="0.2">
      <c r="C192" s="69"/>
      <c r="D192" s="69"/>
    </row>
    <row r="193" spans="3:4" s="62" customFormat="1" ht="12.95" customHeight="1" x14ac:dyDescent="0.2">
      <c r="C193" s="69"/>
      <c r="D193" s="69"/>
    </row>
    <row r="194" spans="3:4" s="62" customFormat="1" ht="12.95" customHeight="1" x14ac:dyDescent="0.2">
      <c r="C194" s="69"/>
      <c r="D194" s="69"/>
    </row>
    <row r="195" spans="3:4" s="62" customFormat="1" ht="12.95" customHeight="1" x14ac:dyDescent="0.2">
      <c r="C195" s="69"/>
      <c r="D195" s="69"/>
    </row>
    <row r="196" spans="3:4" s="62" customFormat="1" ht="12.95" customHeight="1" x14ac:dyDescent="0.2">
      <c r="C196" s="69"/>
      <c r="D196" s="69"/>
    </row>
    <row r="197" spans="3:4" s="62" customFormat="1" ht="12.95" customHeight="1" x14ac:dyDescent="0.2">
      <c r="C197" s="69"/>
      <c r="D197" s="69"/>
    </row>
    <row r="198" spans="3:4" s="62" customFormat="1" ht="12.95" customHeight="1" x14ac:dyDescent="0.2">
      <c r="C198" s="69"/>
      <c r="D198" s="69"/>
    </row>
    <row r="199" spans="3:4" s="62" customFormat="1" ht="12.95" customHeight="1" x14ac:dyDescent="0.2">
      <c r="C199" s="69"/>
      <c r="D199" s="69"/>
    </row>
    <row r="200" spans="3:4" s="62" customFormat="1" ht="12.95" customHeight="1" x14ac:dyDescent="0.2">
      <c r="C200" s="69"/>
      <c r="D200" s="69"/>
    </row>
    <row r="201" spans="3:4" s="62" customFormat="1" ht="12.95" customHeight="1" x14ac:dyDescent="0.2">
      <c r="C201" s="69"/>
      <c r="D201" s="69"/>
    </row>
    <row r="202" spans="3:4" s="62" customFormat="1" ht="12.95" customHeight="1" x14ac:dyDescent="0.2">
      <c r="C202" s="69"/>
      <c r="D202" s="69"/>
    </row>
    <row r="203" spans="3:4" s="62" customFormat="1" ht="12.95" customHeight="1" x14ac:dyDescent="0.2">
      <c r="C203" s="69"/>
      <c r="D203" s="69"/>
    </row>
    <row r="204" spans="3:4" s="62" customFormat="1" ht="12.95" customHeight="1" x14ac:dyDescent="0.2">
      <c r="C204" s="69"/>
      <c r="D204" s="69"/>
    </row>
    <row r="205" spans="3:4" s="62" customFormat="1" ht="12.95" customHeight="1" x14ac:dyDescent="0.2">
      <c r="C205" s="69"/>
      <c r="D205" s="69"/>
    </row>
    <row r="206" spans="3:4" s="62" customFormat="1" ht="12.95" customHeight="1" x14ac:dyDescent="0.2">
      <c r="C206" s="69"/>
      <c r="D206" s="69"/>
    </row>
    <row r="207" spans="3:4" s="62" customFormat="1" ht="12.95" customHeight="1" x14ac:dyDescent="0.2">
      <c r="C207" s="69"/>
      <c r="D207" s="69"/>
    </row>
    <row r="208" spans="3:4" s="62" customFormat="1" ht="12.95" customHeight="1" x14ac:dyDescent="0.2">
      <c r="C208" s="69"/>
      <c r="D208" s="69"/>
    </row>
    <row r="209" spans="3:4" s="62" customFormat="1" ht="12.95" customHeight="1" x14ac:dyDescent="0.2">
      <c r="C209" s="69"/>
      <c r="D209" s="69"/>
    </row>
    <row r="210" spans="3:4" s="62" customFormat="1" ht="12.95" customHeight="1" x14ac:dyDescent="0.2">
      <c r="C210" s="69"/>
      <c r="D210" s="69"/>
    </row>
    <row r="211" spans="3:4" s="62" customFormat="1" ht="12.95" customHeight="1" x14ac:dyDescent="0.2">
      <c r="C211" s="69"/>
      <c r="D211" s="69"/>
    </row>
    <row r="212" spans="3:4" s="62" customFormat="1" ht="12.95" customHeight="1" x14ac:dyDescent="0.2">
      <c r="C212" s="69"/>
      <c r="D212" s="69"/>
    </row>
    <row r="213" spans="3:4" s="62" customFormat="1" ht="12.95" customHeight="1" x14ac:dyDescent="0.2">
      <c r="C213" s="69"/>
      <c r="D213" s="69"/>
    </row>
    <row r="214" spans="3:4" s="62" customFormat="1" ht="12.95" customHeight="1" x14ac:dyDescent="0.2">
      <c r="C214" s="69"/>
      <c r="D214" s="69"/>
    </row>
    <row r="215" spans="3:4" s="62" customFormat="1" ht="12.95" customHeight="1" x14ac:dyDescent="0.2">
      <c r="C215" s="69"/>
      <c r="D215" s="69"/>
    </row>
    <row r="216" spans="3:4" s="62" customFormat="1" ht="12.95" customHeight="1" x14ac:dyDescent="0.2">
      <c r="C216" s="69"/>
      <c r="D216" s="69"/>
    </row>
    <row r="217" spans="3:4" s="62" customFormat="1" ht="12.95" customHeight="1" x14ac:dyDescent="0.2">
      <c r="C217" s="69"/>
      <c r="D217" s="69"/>
    </row>
    <row r="218" spans="3:4" s="62" customFormat="1" ht="12.95" customHeight="1" x14ac:dyDescent="0.2">
      <c r="C218" s="69"/>
      <c r="D218" s="69"/>
    </row>
    <row r="219" spans="3:4" s="62" customFormat="1" ht="12.95" customHeight="1" x14ac:dyDescent="0.2">
      <c r="C219" s="69"/>
      <c r="D219" s="69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470" r:id="rId1" display="http://vsolj.cetus-net.org/bulletin.html"/>
    <hyperlink ref="H64463" r:id="rId2" display="https://www.aavso.org/ejaavso"/>
    <hyperlink ref="AP614" r:id="rId3" display="http://cdsbib.u-strasbg.fr/cgi-bin/cdsbib?1990RMxAA..21..381G"/>
    <hyperlink ref="AP618" r:id="rId4" display="http://cdsbib.u-strasbg.fr/cgi-bin/cdsbib?1990RMxAA..21..381G"/>
    <hyperlink ref="AP617" r:id="rId5" display="http://cdsbib.u-strasbg.fr/cgi-bin/cdsbib?1990RMxAA..21..381G"/>
    <hyperlink ref="AP598" r:id="rId6" display="http://cdsbib.u-strasbg.fr/cgi-bin/cdsbib?1990RMxAA..21..381G"/>
    <hyperlink ref="I64470" r:id="rId7" display="http://vsolj.cetus-net.org/bulletin.html"/>
    <hyperlink ref="AQ754" r:id="rId8" display="http://cdsbib.u-strasbg.fr/cgi-bin/cdsbib?1990RMxAA..21..381G"/>
    <hyperlink ref="AQ55520" r:id="rId9" display="http://cdsbib.u-strasbg.fr/cgi-bin/cdsbib?1990RMxAA..21..381G"/>
    <hyperlink ref="AQ755" r:id="rId10" display="http://cdsbib.u-strasbg.fr/cgi-bin/cdsbib?1990RMxAA..21..381G"/>
    <hyperlink ref="H64467" r:id="rId11" display="https://www.aavso.org/ejaavso"/>
    <hyperlink ref="H1640" r:id="rId12" display="http://vsolj.cetus-net.org/bulletin.html"/>
    <hyperlink ref="AP2884" r:id="rId13" display="http://cdsbib.u-strasbg.fr/cgi-bin/cdsbib?1990RMxAA..21..381G"/>
    <hyperlink ref="AP2887" r:id="rId14" display="http://cdsbib.u-strasbg.fr/cgi-bin/cdsbib?1990RMxAA..21..381G"/>
    <hyperlink ref="AP2885" r:id="rId15" display="http://cdsbib.u-strasbg.fr/cgi-bin/cdsbib?1990RMxAA..21..381G"/>
    <hyperlink ref="AP2869" r:id="rId16" display="http://cdsbib.u-strasbg.fr/cgi-bin/cdsbib?1990RMxAA..21..381G"/>
    <hyperlink ref="I1640" r:id="rId17" display="http://vsolj.cetus-net.org/bulletin.html"/>
    <hyperlink ref="AQ3098" r:id="rId18" display="http://cdsbib.u-strasbg.fr/cgi-bin/cdsbib?1990RMxAA..21..381G"/>
    <hyperlink ref="AQ65335" r:id="rId19" display="http://cdsbib.u-strasbg.fr/cgi-bin/cdsbib?1990RMxAA..21..381G"/>
    <hyperlink ref="AQ310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sqref="A1:IV2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40</v>
      </c>
      <c r="E1" s="27" t="s">
        <v>39</v>
      </c>
      <c r="F1" t="s">
        <v>41</v>
      </c>
    </row>
    <row r="2" spans="1:6" ht="12.95" customHeight="1" x14ac:dyDescent="0.2">
      <c r="A2" t="s">
        <v>24</v>
      </c>
      <c r="B2" t="s">
        <v>42</v>
      </c>
      <c r="C2" s="3"/>
      <c r="D2" s="3"/>
      <c r="E2">
        <v>0</v>
      </c>
    </row>
    <row r="3" spans="1:6" ht="12.95" customHeight="1" thickBot="1" x14ac:dyDescent="0.25"/>
    <row r="4" spans="1:6" ht="12.95" customHeight="1" thickBot="1" x14ac:dyDescent="0.25">
      <c r="A4" s="5" t="s">
        <v>1</v>
      </c>
      <c r="C4" s="29">
        <v>51339.702599999997</v>
      </c>
      <c r="D4" s="30">
        <v>1.7132499999999999</v>
      </c>
    </row>
    <row r="5" spans="1:6" ht="12.95" customHeight="1" x14ac:dyDescent="0.2">
      <c r="A5" s="9" t="s">
        <v>29</v>
      </c>
      <c r="B5" s="10"/>
      <c r="C5" s="11">
        <v>-9.5</v>
      </c>
      <c r="D5" s="10" t="s">
        <v>30</v>
      </c>
    </row>
    <row r="6" spans="1:6" ht="12.95" customHeight="1" x14ac:dyDescent="0.2">
      <c r="A6" s="5" t="s">
        <v>2</v>
      </c>
    </row>
    <row r="7" spans="1:6" ht="12.95" customHeight="1" x14ac:dyDescent="0.2">
      <c r="A7" t="s">
        <v>3</v>
      </c>
      <c r="C7" s="8">
        <v>51339.702599999997</v>
      </c>
      <c r="D7" s="28" t="e">
        <v>#N/A</v>
      </c>
    </row>
    <row r="8" spans="1:6" ht="12.95" customHeight="1" x14ac:dyDescent="0.2">
      <c r="A8" t="s">
        <v>4</v>
      </c>
      <c r="C8" s="8">
        <v>1.7132499999999999</v>
      </c>
      <c r="D8" s="28" t="e">
        <v>#N/A</v>
      </c>
    </row>
    <row r="9" spans="1:6" ht="12.95" customHeight="1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6" ht="12.95" customHeight="1" x14ac:dyDescent="0.2">
      <c r="A11" s="10" t="s">
        <v>16</v>
      </c>
      <c r="B11" s="10"/>
      <c r="C11" s="21">
        <f ca="1">INTERCEPT(INDIRECT($D$9):G992,INDIRECT($C$9):F992)</f>
        <v>-1.1736335889679969E-2</v>
      </c>
      <c r="D11" s="3"/>
      <c r="E11" s="10"/>
    </row>
    <row r="12" spans="1:6" ht="12.95" customHeight="1" x14ac:dyDescent="0.2">
      <c r="A12" s="10" t="s">
        <v>17</v>
      </c>
      <c r="B12" s="10"/>
      <c r="C12" s="21">
        <f ca="1">SLOPE(INDIRECT($D$9):G992,INDIRECT($C$9):F992)</f>
        <v>1.5566750897043614E-5</v>
      </c>
      <c r="D12" s="3"/>
      <c r="E12" s="10"/>
    </row>
    <row r="13" spans="1:6" ht="12.95" customHeight="1" x14ac:dyDescent="0.2">
      <c r="A13" s="10" t="s">
        <v>19</v>
      </c>
      <c r="B13" s="10"/>
      <c r="C13" s="3" t="s">
        <v>14</v>
      </c>
    </row>
    <row r="14" spans="1:6" ht="12.95" customHeight="1" x14ac:dyDescent="0.2">
      <c r="A14" s="10"/>
      <c r="B14" s="10"/>
      <c r="C14" s="10"/>
    </row>
    <row r="15" spans="1:6" ht="12.95" customHeight="1" x14ac:dyDescent="0.2">
      <c r="A15" s="12" t="s">
        <v>18</v>
      </c>
      <c r="B15" s="10"/>
      <c r="C15" s="13">
        <f ca="1">(C7+C11)+(C8+C12)*INT(MAX(F21:F3533))</f>
        <v>59662.734986939962</v>
      </c>
      <c r="E15" s="14" t="s">
        <v>36</v>
      </c>
      <c r="F15" s="11">
        <v>1</v>
      </c>
    </row>
    <row r="16" spans="1:6" ht="12.95" customHeight="1" x14ac:dyDescent="0.2">
      <c r="A16" s="16" t="s">
        <v>5</v>
      </c>
      <c r="B16" s="10"/>
      <c r="C16" s="17">
        <f ca="1">+C8+C12</f>
        <v>1.7132655667508969</v>
      </c>
      <c r="E16" s="14" t="s">
        <v>31</v>
      </c>
      <c r="F16" s="15">
        <f ca="1">NOW()+15018.5+$C$5/24</f>
        <v>60210.722370023148</v>
      </c>
    </row>
    <row r="17" spans="1:21" ht="12.95" customHeight="1" thickBot="1" x14ac:dyDescent="0.25">
      <c r="A17" s="14" t="s">
        <v>28</v>
      </c>
      <c r="B17" s="10"/>
      <c r="C17" s="10">
        <f>COUNT(C21:C2191)</f>
        <v>9</v>
      </c>
      <c r="E17" s="14" t="s">
        <v>37</v>
      </c>
      <c r="F17" s="15">
        <f ca="1">ROUND(2*(F16-$C$7)/$C$8,0)/2+F15</f>
        <v>5179</v>
      </c>
    </row>
    <row r="18" spans="1:21" ht="12.95" customHeight="1" thickTop="1" thickBot="1" x14ac:dyDescent="0.25">
      <c r="A18" s="16" t="s">
        <v>6</v>
      </c>
      <c r="B18" s="10"/>
      <c r="C18" s="19">
        <f ca="1">+C15</f>
        <v>59662.734986939962</v>
      </c>
      <c r="D18" s="20">
        <f ca="1">+C16</f>
        <v>1.7132655667508969</v>
      </c>
      <c r="E18" s="14" t="s">
        <v>32</v>
      </c>
      <c r="F18" s="23">
        <f ca="1">ROUND(2*(F16-$C$15)/$C$16,0)/2+F15</f>
        <v>321</v>
      </c>
    </row>
    <row r="19" spans="1:21" ht="12.95" customHeight="1" thickTop="1" x14ac:dyDescent="0.2">
      <c r="E19" s="14" t="s">
        <v>33</v>
      </c>
      <c r="F19" s="18">
        <f ca="1">+$C$15+$C$16*F18-15018.5-$C$5/24</f>
        <v>45194.589067200337</v>
      </c>
    </row>
    <row r="20" spans="1:21" ht="12.95" customHeight="1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55</v>
      </c>
      <c r="I20" s="7" t="s">
        <v>58</v>
      </c>
      <c r="J20" s="7" t="s">
        <v>52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26" t="s">
        <v>35</v>
      </c>
    </row>
    <row r="21" spans="1:21" ht="12.95" customHeight="1" x14ac:dyDescent="0.2">
      <c r="A21" s="28" t="s">
        <v>38</v>
      </c>
      <c r="C21" s="8">
        <v>51339.702599999997</v>
      </c>
      <c r="D21" s="8" t="s">
        <v>14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J21">
        <f>+G21</f>
        <v>0</v>
      </c>
      <c r="O21">
        <f t="shared" ref="O21:O27" ca="1" si="3">+C$11+C$12*$F21</f>
        <v>-1.1736335889679969E-2</v>
      </c>
      <c r="Q21" s="2">
        <f t="shared" ref="Q21:Q27" si="4">+C21-15018.5</f>
        <v>36321.202599999997</v>
      </c>
      <c r="R21" s="2"/>
      <c r="S21" s="2"/>
      <c r="T21" s="2"/>
    </row>
    <row r="22" spans="1:21" ht="12.95" customHeight="1" x14ac:dyDescent="0.2">
      <c r="A22" s="31" t="s">
        <v>43</v>
      </c>
      <c r="B22" s="32" t="s">
        <v>44</v>
      </c>
      <c r="C22" s="31">
        <v>55655.4064</v>
      </c>
      <c r="D22" s="31">
        <v>4.0000000000000002E-4</v>
      </c>
      <c r="E22">
        <f t="shared" si="0"/>
        <v>2519.015788705678</v>
      </c>
      <c r="F22">
        <f t="shared" si="1"/>
        <v>2519</v>
      </c>
      <c r="G22">
        <f t="shared" si="2"/>
        <v>2.7050000004237518E-2</v>
      </c>
      <c r="K22">
        <f>+G22</f>
        <v>2.7050000004237518E-2</v>
      </c>
      <c r="O22">
        <f t="shared" ca="1" si="3"/>
        <v>2.7476309619972897E-2</v>
      </c>
      <c r="Q22" s="2">
        <f t="shared" si="4"/>
        <v>40636.9064</v>
      </c>
      <c r="R22" s="2"/>
      <c r="S22" s="2"/>
      <c r="T22" s="2"/>
    </row>
    <row r="23" spans="1:21" ht="12.95" customHeight="1" x14ac:dyDescent="0.2">
      <c r="A23" s="51" t="str">
        <f>BAV!P15</f>
        <v>BAVM 225 </v>
      </c>
      <c r="B23" s="52" t="str">
        <f>IF(BAV!H15=INT(BAV!H15),"I","II")</f>
        <v>I</v>
      </c>
      <c r="C23" s="51">
        <f>1*BAV!G15</f>
        <v>55672.539499999999</v>
      </c>
      <c r="D23" s="53" t="str">
        <f>VLOOKUP(BAV!F15,BAV!I$1:J$5,2,FALSE)</f>
        <v>vis</v>
      </c>
      <c r="E23">
        <f t="shared" si="0"/>
        <v>2529.016138917264</v>
      </c>
      <c r="F23">
        <f t="shared" si="1"/>
        <v>2529</v>
      </c>
      <c r="G23">
        <f t="shared" si="2"/>
        <v>2.7650000003632158E-2</v>
      </c>
      <c r="K23">
        <f>+G23</f>
        <v>2.7650000003632158E-2</v>
      </c>
      <c r="O23">
        <f t="shared" ca="1" si="3"/>
        <v>2.763197712894333E-2</v>
      </c>
      <c r="Q23" s="2">
        <f t="shared" si="4"/>
        <v>40654.039499999999</v>
      </c>
      <c r="R23" s="2"/>
      <c r="S23" s="2"/>
      <c r="T23" s="2"/>
    </row>
    <row r="24" spans="1:21" ht="12.95" customHeight="1" x14ac:dyDescent="0.2">
      <c r="A24" s="35" t="s">
        <v>46</v>
      </c>
      <c r="B24" s="36" t="s">
        <v>44</v>
      </c>
      <c r="C24" s="37">
        <v>55691.383880000001</v>
      </c>
      <c r="D24" s="37">
        <v>2.0000000000000001E-4</v>
      </c>
      <c r="E24">
        <f t="shared" si="0"/>
        <v>2540.0153392674765</v>
      </c>
      <c r="F24">
        <f t="shared" si="1"/>
        <v>2540</v>
      </c>
      <c r="G24">
        <f t="shared" si="2"/>
        <v>2.628000000549946E-2</v>
      </c>
      <c r="K24">
        <f>+G24</f>
        <v>2.628000000549946E-2</v>
      </c>
      <c r="O24">
        <f t="shared" ca="1" si="3"/>
        <v>2.7803211388810811E-2</v>
      </c>
      <c r="Q24" s="2">
        <f t="shared" si="4"/>
        <v>40672.883880000001</v>
      </c>
      <c r="R24" s="2"/>
      <c r="S24" s="2"/>
      <c r="T24" s="2"/>
    </row>
    <row r="25" spans="1:21" ht="12.95" customHeight="1" x14ac:dyDescent="0.2">
      <c r="A25" s="33" t="s">
        <v>45</v>
      </c>
      <c r="B25" s="34" t="s">
        <v>44</v>
      </c>
      <c r="C25" s="33">
        <v>56035.7523</v>
      </c>
      <c r="D25" s="33">
        <v>8.0000000000000004E-4</v>
      </c>
      <c r="E25">
        <f t="shared" si="0"/>
        <v>2741.0183569239771</v>
      </c>
      <c r="F25">
        <f t="shared" si="1"/>
        <v>2741</v>
      </c>
      <c r="G25">
        <f t="shared" si="2"/>
        <v>3.1450000002223533E-2</v>
      </c>
      <c r="K25">
        <f>+G25</f>
        <v>3.1450000002223533E-2</v>
      </c>
      <c r="O25">
        <f t="shared" ca="1" si="3"/>
        <v>3.0932128319116577E-2</v>
      </c>
      <c r="Q25" s="2">
        <f t="shared" si="4"/>
        <v>41017.2523</v>
      </c>
      <c r="R25" s="2"/>
      <c r="S25" s="2"/>
      <c r="T25" s="2"/>
    </row>
    <row r="26" spans="1:21" ht="12.95" customHeight="1" x14ac:dyDescent="0.2">
      <c r="A26" s="54" t="s">
        <v>47</v>
      </c>
      <c r="B26" s="55" t="s">
        <v>44</v>
      </c>
      <c r="C26" s="37">
        <v>56431.5167</v>
      </c>
      <c r="D26" s="56">
        <v>4.0000000000000002E-4</v>
      </c>
      <c r="E26">
        <f t="shared" si="0"/>
        <v>2972.020487377793</v>
      </c>
      <c r="F26">
        <f t="shared" si="1"/>
        <v>2972</v>
      </c>
      <c r="G26">
        <f t="shared" si="2"/>
        <v>3.5100000000966247E-2</v>
      </c>
      <c r="J26">
        <f>+G26</f>
        <v>3.5100000000966247E-2</v>
      </c>
      <c r="O26">
        <f t="shared" ca="1" si="3"/>
        <v>3.4528047776333649E-2</v>
      </c>
      <c r="Q26" s="2">
        <f t="shared" si="4"/>
        <v>41413.0167</v>
      </c>
      <c r="R26" s="2"/>
      <c r="S26" s="2"/>
      <c r="T26" s="2"/>
    </row>
    <row r="27" spans="1:21" ht="12.95" customHeight="1" x14ac:dyDescent="0.2">
      <c r="A27" s="57" t="s">
        <v>0</v>
      </c>
      <c r="B27" s="58" t="s">
        <v>44</v>
      </c>
      <c r="C27" s="58">
        <v>57781.572699999997</v>
      </c>
      <c r="D27" s="58">
        <v>2.0000000000000001E-4</v>
      </c>
      <c r="E27">
        <f t="shared" si="0"/>
        <v>3760.029242667445</v>
      </c>
      <c r="F27">
        <f t="shared" si="1"/>
        <v>3760</v>
      </c>
      <c r="G27">
        <f t="shared" si="2"/>
        <v>5.0100000000384171E-2</v>
      </c>
      <c r="K27">
        <f>+G27</f>
        <v>5.0100000000384171E-2</v>
      </c>
      <c r="O27">
        <f t="shared" ca="1" si="3"/>
        <v>4.679464748320402E-2</v>
      </c>
      <c r="Q27" s="2">
        <f t="shared" si="4"/>
        <v>42763.072699999997</v>
      </c>
      <c r="R27" s="2"/>
      <c r="S27" s="2"/>
      <c r="T27" s="2"/>
    </row>
    <row r="28" spans="1:21" ht="12.95" customHeight="1" x14ac:dyDescent="0.2">
      <c r="A28" s="5" t="s">
        <v>88</v>
      </c>
      <c r="C28" s="8">
        <v>58951.726600000002</v>
      </c>
      <c r="D28" s="8">
        <v>2.9999999999999997E-4</v>
      </c>
      <c r="E28">
        <f>+(C28-C$7)/C$8</f>
        <v>4443.0316649642518</v>
      </c>
      <c r="F28">
        <f>ROUND(2*E28,0)/2</f>
        <v>4443</v>
      </c>
      <c r="G28">
        <f>+C28-(C$7+F28*C$8)</f>
        <v>5.4250000008323696E-2</v>
      </c>
      <c r="K28">
        <f>+G28</f>
        <v>5.4250000008323696E-2</v>
      </c>
      <c r="O28">
        <f ca="1">+C$11+C$12*$F28</f>
        <v>5.7426738345884812E-2</v>
      </c>
      <c r="Q28" s="2">
        <f>+C28-15018.5</f>
        <v>43933.226600000002</v>
      </c>
      <c r="R28" s="2"/>
      <c r="S28" s="2"/>
      <c r="T28" s="2"/>
    </row>
    <row r="29" spans="1:21" ht="12.95" customHeight="1" x14ac:dyDescent="0.2">
      <c r="A29" s="59" t="s">
        <v>89</v>
      </c>
      <c r="B29" s="60" t="s">
        <v>44</v>
      </c>
      <c r="C29" s="61">
        <v>59662.735699999997</v>
      </c>
      <c r="D29" s="61">
        <v>2.9999999999999997E-4</v>
      </c>
      <c r="E29">
        <f>+(C29-C$7)/C$8</f>
        <v>4858.0377061141107</v>
      </c>
      <c r="F29">
        <f>ROUND(2*E29,0)/2</f>
        <v>4858</v>
      </c>
      <c r="G29">
        <f>+C29-(C$7+F29*C$8)</f>
        <v>6.4600000005157199E-2</v>
      </c>
      <c r="K29">
        <f>+G29</f>
        <v>6.4600000005157199E-2</v>
      </c>
      <c r="O29">
        <f ca="1">+C$11+C$12*$F29</f>
        <v>6.3886939968157905E-2</v>
      </c>
      <c r="Q29" s="2">
        <f>+C29-15018.5</f>
        <v>44644.235699999997</v>
      </c>
      <c r="R29" s="2"/>
      <c r="S29" s="2"/>
      <c r="T29" s="2"/>
    </row>
    <row r="30" spans="1:21" ht="12.95" customHeight="1" x14ac:dyDescent="0.2">
      <c r="C30" s="8"/>
      <c r="D30" s="8"/>
      <c r="Q30" s="2"/>
      <c r="R30" s="2"/>
      <c r="S30" s="2"/>
      <c r="T30" s="2"/>
    </row>
    <row r="31" spans="1:21" ht="12.95" customHeight="1" x14ac:dyDescent="0.2">
      <c r="C31" s="8"/>
      <c r="D31" s="8"/>
      <c r="Q31" s="2"/>
      <c r="R31" s="2"/>
      <c r="S31" s="2"/>
      <c r="T31" s="2"/>
    </row>
    <row r="32" spans="1:21" ht="12.95" customHeight="1" x14ac:dyDescent="0.2">
      <c r="C32" s="8"/>
      <c r="D32" s="8"/>
      <c r="Q32" s="2"/>
      <c r="R32" s="2"/>
      <c r="S32" s="2"/>
      <c r="T32" s="2"/>
    </row>
    <row r="33" spans="3:20" ht="12.95" customHeight="1" x14ac:dyDescent="0.2">
      <c r="C33" s="8"/>
      <c r="D33" s="8"/>
      <c r="Q33" s="2"/>
      <c r="R33" s="2"/>
      <c r="S33" s="2"/>
      <c r="T33" s="2"/>
    </row>
    <row r="34" spans="3:20" ht="12.95" customHeight="1" x14ac:dyDescent="0.2">
      <c r="C34" s="8"/>
      <c r="D34" s="8"/>
    </row>
    <row r="35" spans="3:20" ht="12.95" customHeight="1" x14ac:dyDescent="0.2">
      <c r="C35" s="8"/>
      <c r="D35" s="8"/>
    </row>
    <row r="36" spans="3:20" ht="12.95" customHeight="1" x14ac:dyDescent="0.2">
      <c r="C36" s="8"/>
      <c r="D36" s="8"/>
    </row>
    <row r="37" spans="3:20" ht="12.95" customHeight="1" x14ac:dyDescent="0.2">
      <c r="C37" s="8"/>
      <c r="D37" s="8"/>
    </row>
    <row r="38" spans="3:20" ht="12.95" customHeight="1" x14ac:dyDescent="0.2">
      <c r="C38" s="8"/>
      <c r="D38" s="8"/>
    </row>
    <row r="39" spans="3:20" ht="12.95" customHeight="1" x14ac:dyDescent="0.2">
      <c r="C39" s="8"/>
      <c r="D39" s="8"/>
    </row>
    <row r="40" spans="3:20" ht="12.95" customHeight="1" x14ac:dyDescent="0.2">
      <c r="C40" s="8"/>
      <c r="D40" s="8"/>
    </row>
    <row r="41" spans="3:20" ht="12.95" customHeight="1" x14ac:dyDescent="0.2">
      <c r="C41" s="8"/>
      <c r="D41" s="8"/>
    </row>
    <row r="42" spans="3:20" ht="12.95" customHeight="1" x14ac:dyDescent="0.2">
      <c r="C42" s="8"/>
      <c r="D42" s="8"/>
    </row>
    <row r="43" spans="3:20" ht="12.95" customHeight="1" x14ac:dyDescent="0.2">
      <c r="C43" s="8"/>
      <c r="D43" s="8"/>
    </row>
    <row r="44" spans="3:20" ht="12.95" customHeight="1" x14ac:dyDescent="0.2">
      <c r="C44" s="8"/>
      <c r="D44" s="8"/>
    </row>
    <row r="45" spans="3:20" ht="12.95" customHeight="1" x14ac:dyDescent="0.2">
      <c r="C45" s="8"/>
      <c r="D45" s="8"/>
    </row>
    <row r="46" spans="3:20" ht="12.95" customHeight="1" x14ac:dyDescent="0.2">
      <c r="C46" s="8"/>
      <c r="D46" s="8"/>
    </row>
    <row r="47" spans="3:20" ht="12.95" customHeight="1" x14ac:dyDescent="0.2">
      <c r="C47" s="8"/>
      <c r="D47" s="8"/>
    </row>
    <row r="48" spans="3:20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470" r:id="rId1" display="http://vsolj.cetus-net.org/bulletin.html"/>
    <hyperlink ref="H64463" r:id="rId2" display="https://www.aavso.org/ejaavso"/>
    <hyperlink ref="AP614" r:id="rId3" display="http://cdsbib.u-strasbg.fr/cgi-bin/cdsbib?1990RMxAA..21..381G"/>
    <hyperlink ref="AP618" r:id="rId4" display="http://cdsbib.u-strasbg.fr/cgi-bin/cdsbib?1990RMxAA..21..381G"/>
    <hyperlink ref="AP617" r:id="rId5" display="http://cdsbib.u-strasbg.fr/cgi-bin/cdsbib?1990RMxAA..21..381G"/>
    <hyperlink ref="AP598" r:id="rId6" display="http://cdsbib.u-strasbg.fr/cgi-bin/cdsbib?1990RMxAA..21..381G"/>
    <hyperlink ref="I64470" r:id="rId7" display="http://vsolj.cetus-net.org/bulletin.html"/>
    <hyperlink ref="AQ754" r:id="rId8" display="http://cdsbib.u-strasbg.fr/cgi-bin/cdsbib?1990RMxAA..21..381G"/>
    <hyperlink ref="AQ55520" r:id="rId9" display="http://cdsbib.u-strasbg.fr/cgi-bin/cdsbib?1990RMxAA..21..381G"/>
    <hyperlink ref="AQ755" r:id="rId10" display="http://cdsbib.u-strasbg.fr/cgi-bin/cdsbib?1990RMxAA..21..381G"/>
    <hyperlink ref="H64467" r:id="rId11" display="https://www.aavso.org/ejaavso"/>
    <hyperlink ref="H1640" r:id="rId12" display="http://vsolj.cetus-net.org/bulletin.html"/>
    <hyperlink ref="AP2884" r:id="rId13" display="http://cdsbib.u-strasbg.fr/cgi-bin/cdsbib?1990RMxAA..21..381G"/>
    <hyperlink ref="AP2887" r:id="rId14" display="http://cdsbib.u-strasbg.fr/cgi-bin/cdsbib?1990RMxAA..21..381G"/>
    <hyperlink ref="AP2885" r:id="rId15" display="http://cdsbib.u-strasbg.fr/cgi-bin/cdsbib?1990RMxAA..21..381G"/>
    <hyperlink ref="AP2869" r:id="rId16" display="http://cdsbib.u-strasbg.fr/cgi-bin/cdsbib?1990RMxAA..21..381G"/>
    <hyperlink ref="I1640" r:id="rId17" display="http://vsolj.cetus-net.org/bulletin.html"/>
    <hyperlink ref="AQ3098" r:id="rId18" display="http://cdsbib.u-strasbg.fr/cgi-bin/cdsbib?1990RMxAA..21..381G"/>
    <hyperlink ref="AQ65335" r:id="rId19" display="http://cdsbib.u-strasbg.fr/cgi-bin/cdsbib?1990RMxAA..21..381G"/>
    <hyperlink ref="AQ310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3"/>
  <sheetViews>
    <sheetView workbookViewId="0">
      <selection activeCell="A15" sqref="A15:D15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48</v>
      </c>
      <c r="I1" s="39" t="s">
        <v>49</v>
      </c>
      <c r="J1" s="40" t="s">
        <v>50</v>
      </c>
    </row>
    <row r="2" spans="1:16" x14ac:dyDescent="0.2">
      <c r="I2" s="41" t="s">
        <v>51</v>
      </c>
      <c r="J2" s="42" t="s">
        <v>52</v>
      </c>
    </row>
    <row r="3" spans="1:16" x14ac:dyDescent="0.2">
      <c r="A3" s="43" t="s">
        <v>53</v>
      </c>
      <c r="I3" s="41" t="s">
        <v>54</v>
      </c>
      <c r="J3" s="42" t="s">
        <v>55</v>
      </c>
    </row>
    <row r="4" spans="1:16" x14ac:dyDescent="0.2">
      <c r="I4" s="41" t="s">
        <v>56</v>
      </c>
      <c r="J4" s="42" t="s">
        <v>55</v>
      </c>
    </row>
    <row r="5" spans="1:16" ht="13.5" thickBot="1" x14ac:dyDescent="0.25">
      <c r="I5" s="44" t="s">
        <v>57</v>
      </c>
      <c r="J5" s="45" t="s">
        <v>58</v>
      </c>
    </row>
    <row r="10" spans="1:16" ht="13.5" thickBot="1" x14ac:dyDescent="0.25"/>
    <row r="11" spans="1:16" ht="12.75" customHeight="1" thickBot="1" x14ac:dyDescent="0.25">
      <c r="A11" s="8" t="str">
        <f>P11</f>
        <v>IBVS 5997 </v>
      </c>
      <c r="B11" s="3" t="str">
        <f>IF(H11=INT(H11),"I","II")</f>
        <v>I</v>
      </c>
      <c r="C11" s="8">
        <f>1*G11</f>
        <v>55655.4064</v>
      </c>
      <c r="D11" s="10" t="str">
        <f>VLOOKUP(F11,I$1:J$5,2,FALSE)</f>
        <v>vis</v>
      </c>
      <c r="E11" s="46">
        <f>VLOOKUP(C11,'Active 1'!C$21:E$973,3,FALSE)</f>
        <v>2518.9882944052315</v>
      </c>
      <c r="F11" s="3" t="s">
        <v>57</v>
      </c>
      <c r="G11" s="10" t="str">
        <f>MID(I11,3,LEN(I11)-3)</f>
        <v>55655.4064</v>
      </c>
      <c r="H11" s="8">
        <f>1*K11</f>
        <v>2519</v>
      </c>
      <c r="I11" s="47" t="s">
        <v>59</v>
      </c>
      <c r="J11" s="48" t="s">
        <v>60</v>
      </c>
      <c r="K11" s="47">
        <v>2519</v>
      </c>
      <c r="L11" s="47" t="s">
        <v>61</v>
      </c>
      <c r="M11" s="48" t="s">
        <v>62</v>
      </c>
      <c r="N11" s="48" t="s">
        <v>57</v>
      </c>
      <c r="O11" s="49" t="s">
        <v>63</v>
      </c>
      <c r="P11" s="50" t="s">
        <v>64</v>
      </c>
    </row>
    <row r="12" spans="1:16" ht="12.75" customHeight="1" thickBot="1" x14ac:dyDescent="0.25">
      <c r="A12" s="8" t="str">
        <f>P12</f>
        <v>OEJV 0160 </v>
      </c>
      <c r="B12" s="3" t="str">
        <f>IF(H12=INT(H12),"I","II")</f>
        <v>I</v>
      </c>
      <c r="C12" s="8">
        <f>1*G12</f>
        <v>55691.383880000001</v>
      </c>
      <c r="D12" s="10" t="str">
        <f>VLOOKUP(F12,I$1:J$5,2,FALSE)</f>
        <v>vis</v>
      </c>
      <c r="E12" s="46">
        <f>VLOOKUP(C12,'Active 1'!C$21:E$973,3,FALSE)</f>
        <v>2539.9876157632457</v>
      </c>
      <c r="F12" s="3" t="s">
        <v>57</v>
      </c>
      <c r="G12" s="10" t="str">
        <f>MID(I12,3,LEN(I12)-3)</f>
        <v>55691.38388</v>
      </c>
      <c r="H12" s="8">
        <f>1*K12</f>
        <v>2540</v>
      </c>
      <c r="I12" s="47" t="s">
        <v>71</v>
      </c>
      <c r="J12" s="48" t="s">
        <v>72</v>
      </c>
      <c r="K12" s="47" t="s">
        <v>73</v>
      </c>
      <c r="L12" s="47" t="s">
        <v>74</v>
      </c>
      <c r="M12" s="48" t="s">
        <v>62</v>
      </c>
      <c r="N12" s="48" t="s">
        <v>49</v>
      </c>
      <c r="O12" s="49" t="s">
        <v>75</v>
      </c>
      <c r="P12" s="50" t="s">
        <v>76</v>
      </c>
    </row>
    <row r="13" spans="1:16" ht="12.75" customHeight="1" thickBot="1" x14ac:dyDescent="0.25">
      <c r="A13" s="8" t="str">
        <f>P13</f>
        <v>IBVS 6029 </v>
      </c>
      <c r="B13" s="3" t="str">
        <f>IF(H13=INT(H13),"I","II")</f>
        <v>I</v>
      </c>
      <c r="C13" s="8">
        <f>1*G13</f>
        <v>56035.7523</v>
      </c>
      <c r="D13" s="10" t="str">
        <f>VLOOKUP(F13,I$1:J$5,2,FALSE)</f>
        <v>vis</v>
      </c>
      <c r="E13" s="46">
        <f>VLOOKUP(C13,'Active 1'!C$21:E$973,3,FALSE)</f>
        <v>2740.9884395322033</v>
      </c>
      <c r="F13" s="3" t="s">
        <v>57</v>
      </c>
      <c r="G13" s="10" t="str">
        <f>MID(I13,3,LEN(I13)-3)</f>
        <v>56035.7523</v>
      </c>
      <c r="H13" s="8">
        <f>1*K13</f>
        <v>2741</v>
      </c>
      <c r="I13" s="47" t="s">
        <v>77</v>
      </c>
      <c r="J13" s="48" t="s">
        <v>78</v>
      </c>
      <c r="K13" s="47" t="s">
        <v>79</v>
      </c>
      <c r="L13" s="47" t="s">
        <v>80</v>
      </c>
      <c r="M13" s="48" t="s">
        <v>62</v>
      </c>
      <c r="N13" s="48" t="s">
        <v>57</v>
      </c>
      <c r="O13" s="49" t="s">
        <v>81</v>
      </c>
      <c r="P13" s="50" t="s">
        <v>82</v>
      </c>
    </row>
    <row r="14" spans="1:16" ht="12.75" customHeight="1" thickBot="1" x14ac:dyDescent="0.25">
      <c r="A14" s="8" t="str">
        <f>P14</f>
        <v>BAVM 234 </v>
      </c>
      <c r="B14" s="3" t="str">
        <f>IF(H14=INT(H14),"I","II")</f>
        <v>I</v>
      </c>
      <c r="C14" s="8">
        <f>1*G14</f>
        <v>56431.5167</v>
      </c>
      <c r="D14" s="10" t="str">
        <f>VLOOKUP(F14,I$1:J$5,2,FALSE)</f>
        <v>vis</v>
      </c>
      <c r="E14" s="46">
        <f>VLOOKUP(C14,'Active 1'!C$21:E$973,3,FALSE)</f>
        <v>2971.9880486671746</v>
      </c>
      <c r="F14" s="3" t="s">
        <v>57</v>
      </c>
      <c r="G14" s="10" t="str">
        <f>MID(I14,3,LEN(I14)-3)</f>
        <v>56431.5167</v>
      </c>
      <c r="H14" s="8">
        <f>1*K14</f>
        <v>2972</v>
      </c>
      <c r="I14" s="47" t="s">
        <v>83</v>
      </c>
      <c r="J14" s="48" t="s">
        <v>84</v>
      </c>
      <c r="K14" s="47" t="s">
        <v>85</v>
      </c>
      <c r="L14" s="47" t="s">
        <v>86</v>
      </c>
      <c r="M14" s="48" t="s">
        <v>62</v>
      </c>
      <c r="N14" s="48" t="s">
        <v>57</v>
      </c>
      <c r="O14" s="49" t="s">
        <v>69</v>
      </c>
      <c r="P14" s="50" t="s">
        <v>87</v>
      </c>
    </row>
    <row r="15" spans="1:16" ht="12.75" customHeight="1" thickBot="1" x14ac:dyDescent="0.25">
      <c r="A15" s="10"/>
      <c r="C15" s="10"/>
      <c r="E15" s="46">
        <f>VLOOKUP('Active 1'!C26,'Active 1'!C$21:E$973,3,FALSE)</f>
        <v>2971.9880486671746</v>
      </c>
      <c r="F15" s="3" t="s">
        <v>57</v>
      </c>
      <c r="G15" s="10" t="str">
        <f>MID(I15,3,LEN(I15)-3)</f>
        <v>55672.5395</v>
      </c>
      <c r="H15" s="8">
        <f>1*K15</f>
        <v>2529</v>
      </c>
      <c r="I15" s="47" t="s">
        <v>65</v>
      </c>
      <c r="J15" s="48" t="s">
        <v>66</v>
      </c>
      <c r="K15" s="47">
        <v>2529</v>
      </c>
      <c r="L15" s="47" t="s">
        <v>67</v>
      </c>
      <c r="M15" s="48" t="s">
        <v>62</v>
      </c>
      <c r="N15" s="48" t="s">
        <v>68</v>
      </c>
      <c r="O15" s="49" t="s">
        <v>69</v>
      </c>
      <c r="P15" s="50" t="s">
        <v>70</v>
      </c>
    </row>
    <row r="16" spans="1:16" x14ac:dyDescent="0.2">
      <c r="B16" s="3"/>
      <c r="E16" s="46"/>
      <c r="F16" s="3"/>
    </row>
    <row r="17" spans="2:6" x14ac:dyDescent="0.2">
      <c r="B17" s="3"/>
      <c r="E17" s="46"/>
      <c r="F17" s="3"/>
    </row>
    <row r="18" spans="2:6" x14ac:dyDescent="0.2">
      <c r="B18" s="3"/>
      <c r="E18" s="46"/>
      <c r="F18" s="3"/>
    </row>
    <row r="19" spans="2:6" x14ac:dyDescent="0.2">
      <c r="B19" s="3"/>
      <c r="E19" s="46"/>
      <c r="F19" s="3"/>
    </row>
    <row r="20" spans="2:6" x14ac:dyDescent="0.2">
      <c r="B20" s="3"/>
      <c r="E20" s="46"/>
      <c r="F20" s="3"/>
    </row>
    <row r="21" spans="2:6" x14ac:dyDescent="0.2">
      <c r="B21" s="3"/>
      <c r="E21" s="46"/>
      <c r="F21" s="3"/>
    </row>
    <row r="22" spans="2:6" x14ac:dyDescent="0.2">
      <c r="B22" s="3"/>
      <c r="E22" s="46"/>
      <c r="F22" s="3"/>
    </row>
    <row r="23" spans="2:6" x14ac:dyDescent="0.2">
      <c r="B23" s="3"/>
      <c r="E23" s="46"/>
      <c r="F23" s="3"/>
    </row>
    <row r="24" spans="2:6" x14ac:dyDescent="0.2">
      <c r="B24" s="3"/>
      <c r="E24" s="46"/>
      <c r="F24" s="3"/>
    </row>
    <row r="25" spans="2:6" x14ac:dyDescent="0.2">
      <c r="B25" s="3"/>
      <c r="E25" s="46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</sheetData>
  <phoneticPr fontId="7" type="noConversion"/>
  <hyperlinks>
    <hyperlink ref="P11" r:id="rId1" display="http://www.konkoly.hu/cgi-bin/IBVS?5997"/>
    <hyperlink ref="P15" r:id="rId2" display="http://www.bav-astro.de/sfs/BAVM_link.php?BAVMnr=225"/>
    <hyperlink ref="P12" r:id="rId3" display="http://var.astro.cz/oejv/issues/oejv0160.pdf"/>
    <hyperlink ref="P13" r:id="rId4" display="http://www.konkoly.hu/cgi-bin/IBVS?6029"/>
    <hyperlink ref="P14" r:id="rId5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2023-09-23T05:20:12Z</dcterms:modified>
</cp:coreProperties>
</file>