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64337BE-ED79-4D54-BF15-CFE08A74FA41}" xr6:coauthVersionLast="47" xr6:coauthVersionMax="47" xr10:uidLastSave="{00000000-0000-0000-0000-000000000000}"/>
  <bookViews>
    <workbookView xWindow="285" yWindow="225" windowWidth="16485" windowHeight="1507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9" i="1" l="1"/>
  <c r="E40" i="1"/>
  <c r="F40" i="1" s="1"/>
  <c r="G40" i="1" s="1"/>
  <c r="I40" i="1" s="1"/>
  <c r="E24" i="1"/>
  <c r="F24" i="1"/>
  <c r="E32" i="1"/>
  <c r="F32" i="1" s="1"/>
  <c r="G32" i="1" s="1"/>
  <c r="I32" i="1" s="1"/>
  <c r="E47" i="1"/>
  <c r="F47" i="1" s="1"/>
  <c r="G47" i="1" s="1"/>
  <c r="J47" i="1" s="1"/>
  <c r="E60" i="1"/>
  <c r="F60" i="1" s="1"/>
  <c r="G60" i="1" s="1"/>
  <c r="K60" i="1" s="1"/>
  <c r="E57" i="1"/>
  <c r="F57" i="1"/>
  <c r="Q68" i="1"/>
  <c r="Q67" i="1"/>
  <c r="C7" i="1"/>
  <c r="E69" i="1"/>
  <c r="F69" i="1" s="1"/>
  <c r="G69" i="1" s="1"/>
  <c r="K69" i="1" s="1"/>
  <c r="C8" i="1"/>
  <c r="D9" i="1"/>
  <c r="C9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G22" i="2"/>
  <c r="C22" i="2"/>
  <c r="G21" i="2"/>
  <c r="C21" i="2"/>
  <c r="E21" i="2"/>
  <c r="G20" i="2"/>
  <c r="C20" i="2"/>
  <c r="G19" i="2"/>
  <c r="C19" i="2"/>
  <c r="G53" i="2"/>
  <c r="C53" i="2"/>
  <c r="E53" i="2"/>
  <c r="G18" i="2"/>
  <c r="C18" i="2"/>
  <c r="G17" i="2"/>
  <c r="C17" i="2"/>
  <c r="G16" i="2"/>
  <c r="C16" i="2"/>
  <c r="G15" i="2"/>
  <c r="C15" i="2"/>
  <c r="G14" i="2"/>
  <c r="C14" i="2"/>
  <c r="E14" i="2"/>
  <c r="G13" i="2"/>
  <c r="C13" i="2"/>
  <c r="G12" i="2"/>
  <c r="C12" i="2"/>
  <c r="G11" i="2"/>
  <c r="C11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53" i="2"/>
  <c r="B53" i="2"/>
  <c r="D53" i="2"/>
  <c r="A53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Q66" i="1"/>
  <c r="Q59" i="1"/>
  <c r="Q61" i="1"/>
  <c r="Q62" i="1"/>
  <c r="Q63" i="1"/>
  <c r="Q65" i="1"/>
  <c r="Q56" i="1"/>
  <c r="Q60" i="1"/>
  <c r="Q64" i="1"/>
  <c r="F16" i="1"/>
  <c r="C17" i="1"/>
  <c r="Q58" i="1"/>
  <c r="Q57" i="1"/>
  <c r="Q55" i="1"/>
  <c r="Q54" i="1"/>
  <c r="Q53" i="1"/>
  <c r="Q49" i="1"/>
  <c r="Q51" i="1"/>
  <c r="Q44" i="1"/>
  <c r="Q45" i="1"/>
  <c r="Q46" i="1"/>
  <c r="Q47" i="1"/>
  <c r="Q48" i="1"/>
  <c r="Q50" i="1"/>
  <c r="Q52" i="1"/>
  <c r="Q22" i="1"/>
  <c r="E36" i="2"/>
  <c r="E29" i="2"/>
  <c r="E30" i="2"/>
  <c r="E63" i="1"/>
  <c r="F63" i="1"/>
  <c r="E53" i="1"/>
  <c r="E18" i="2" s="1"/>
  <c r="F53" i="1"/>
  <c r="G53" i="1" s="1"/>
  <c r="K53" i="1" s="1"/>
  <c r="E44" i="1"/>
  <c r="F44" i="1" s="1"/>
  <c r="G44" i="1" s="1"/>
  <c r="I44" i="1" s="1"/>
  <c r="E29" i="1"/>
  <c r="E38" i="2" s="1"/>
  <c r="E42" i="1"/>
  <c r="F42" i="1"/>
  <c r="E55" i="1"/>
  <c r="F55" i="1"/>
  <c r="E59" i="1"/>
  <c r="F59" i="1" s="1"/>
  <c r="G59" i="1" s="1"/>
  <c r="J59" i="1" s="1"/>
  <c r="E65" i="1"/>
  <c r="F65" i="1"/>
  <c r="G65" i="1"/>
  <c r="K65" i="1" s="1"/>
  <c r="E48" i="1"/>
  <c r="F48" i="1" s="1"/>
  <c r="G48" i="1" s="1"/>
  <c r="I48" i="1" s="1"/>
  <c r="G36" i="1"/>
  <c r="I36" i="1"/>
  <c r="E34" i="1"/>
  <c r="F34" i="1" s="1"/>
  <c r="G34" i="1" s="1"/>
  <c r="I34" i="1" s="1"/>
  <c r="E26" i="1"/>
  <c r="F26" i="1"/>
  <c r="G26" i="1"/>
  <c r="I26" i="1" s="1"/>
  <c r="E38" i="1"/>
  <c r="F38" i="1"/>
  <c r="G38" i="1"/>
  <c r="I38" i="1"/>
  <c r="E51" i="1"/>
  <c r="F51" i="1" s="1"/>
  <c r="G51" i="1" s="1"/>
  <c r="J51" i="1" s="1"/>
  <c r="E56" i="1"/>
  <c r="F56" i="1"/>
  <c r="G56" i="1"/>
  <c r="K56" i="1"/>
  <c r="E46" i="1"/>
  <c r="F46" i="1" s="1"/>
  <c r="G46" i="1" s="1"/>
  <c r="J46" i="1" s="1"/>
  <c r="E31" i="1"/>
  <c r="F31" i="1"/>
  <c r="G31" i="1"/>
  <c r="I31" i="1"/>
  <c r="E23" i="1"/>
  <c r="F23" i="1" s="1"/>
  <c r="G23" i="1" s="1"/>
  <c r="I23" i="1" s="1"/>
  <c r="E67" i="1"/>
  <c r="F67" i="1"/>
  <c r="G67" i="1"/>
  <c r="K67" i="1"/>
  <c r="E22" i="1"/>
  <c r="F22" i="1" s="1"/>
  <c r="E62" i="1"/>
  <c r="F62" i="1"/>
  <c r="G62" i="1" s="1"/>
  <c r="K62" i="1" s="1"/>
  <c r="E52" i="1"/>
  <c r="E17" i="2" s="1"/>
  <c r="F52" i="1"/>
  <c r="G52" i="1"/>
  <c r="J52" i="1" s="1"/>
  <c r="E36" i="1"/>
  <c r="F36" i="1"/>
  <c r="G30" i="1"/>
  <c r="I30" i="1"/>
  <c r="E28" i="1"/>
  <c r="F28" i="1" s="1"/>
  <c r="G28" i="1" s="1"/>
  <c r="I28" i="1" s="1"/>
  <c r="E37" i="1"/>
  <c r="F37" i="1" s="1"/>
  <c r="G37" i="1" s="1"/>
  <c r="I37" i="1" s="1"/>
  <c r="E58" i="1"/>
  <c r="F58" i="1"/>
  <c r="G58" i="1"/>
  <c r="J58" i="1"/>
  <c r="E64" i="1"/>
  <c r="F64" i="1" s="1"/>
  <c r="G64" i="1" s="1"/>
  <c r="K64" i="1" s="1"/>
  <c r="E43" i="1"/>
  <c r="F43" i="1" s="1"/>
  <c r="G43" i="1" s="1"/>
  <c r="J43" i="1" s="1"/>
  <c r="E33" i="1"/>
  <c r="F33" i="1"/>
  <c r="G33" i="1"/>
  <c r="I33" i="1"/>
  <c r="E25" i="1"/>
  <c r="F25" i="1" s="1"/>
  <c r="G25" i="1" s="1"/>
  <c r="I25" i="1" s="1"/>
  <c r="E21" i="1"/>
  <c r="F21" i="1"/>
  <c r="G21" i="1"/>
  <c r="I21" i="1" s="1"/>
  <c r="G57" i="1"/>
  <c r="J57" i="1"/>
  <c r="E49" i="1"/>
  <c r="F49" i="1"/>
  <c r="G49" i="1" s="1"/>
  <c r="J49" i="1" s="1"/>
  <c r="E54" i="1"/>
  <c r="F54" i="1" s="1"/>
  <c r="G54" i="1" s="1"/>
  <c r="K54" i="1" s="1"/>
  <c r="E45" i="1"/>
  <c r="F45" i="1" s="1"/>
  <c r="G45" i="1" s="1"/>
  <c r="J45" i="1" s="1"/>
  <c r="E30" i="1"/>
  <c r="F30" i="1"/>
  <c r="G24" i="1"/>
  <c r="I24" i="1"/>
  <c r="E39" i="1"/>
  <c r="F39" i="1" s="1"/>
  <c r="G39" i="1" s="1"/>
  <c r="I39" i="1" s="1"/>
  <c r="E66" i="1"/>
  <c r="F66" i="1"/>
  <c r="G66" i="1"/>
  <c r="J66" i="1"/>
  <c r="G63" i="1"/>
  <c r="K63" i="1"/>
  <c r="E61" i="1"/>
  <c r="F61" i="1" s="1"/>
  <c r="G61" i="1" s="1"/>
  <c r="K61" i="1" s="1"/>
  <c r="E50" i="1"/>
  <c r="F50" i="1"/>
  <c r="G50" i="1" s="1"/>
  <c r="I50" i="1" s="1"/>
  <c r="E35" i="1"/>
  <c r="F35" i="1" s="1"/>
  <c r="G35" i="1" s="1"/>
  <c r="I35" i="1" s="1"/>
  <c r="E27" i="1"/>
  <c r="F27" i="1"/>
  <c r="G27" i="1" s="1"/>
  <c r="I27" i="1" s="1"/>
  <c r="G42" i="1"/>
  <c r="I42" i="1"/>
  <c r="E41" i="1"/>
  <c r="E50" i="2" s="1"/>
  <c r="F41" i="1"/>
  <c r="G41" i="1" s="1"/>
  <c r="I41" i="1" s="1"/>
  <c r="E68" i="1"/>
  <c r="F68" i="1"/>
  <c r="G68" i="1" s="1"/>
  <c r="K68" i="1" s="1"/>
  <c r="E47" i="2"/>
  <c r="E39" i="2"/>
  <c r="E48" i="2"/>
  <c r="E42" i="2"/>
  <c r="E27" i="2"/>
  <c r="E16" i="2"/>
  <c r="E26" i="2"/>
  <c r="E15" i="2"/>
  <c r="E19" i="2"/>
  <c r="E25" i="2"/>
  <c r="E52" i="2"/>
  <c r="E22" i="2"/>
  <c r="E40" i="2"/>
  <c r="E51" i="2"/>
  <c r="E35" i="2"/>
  <c r="E45" i="2"/>
  <c r="E31" i="2"/>
  <c r="E20" i="2"/>
  <c r="E12" i="2" l="1"/>
  <c r="E46" i="2"/>
  <c r="E34" i="2"/>
  <c r="E43" i="2"/>
  <c r="E44" i="2"/>
  <c r="E28" i="2"/>
  <c r="E32" i="2"/>
  <c r="E37" i="2"/>
  <c r="F29" i="1"/>
  <c r="G29" i="1" s="1"/>
  <c r="E13" i="2"/>
  <c r="E11" i="2"/>
  <c r="E23" i="2"/>
  <c r="F17" i="1"/>
  <c r="C12" i="1"/>
  <c r="C11" i="1"/>
  <c r="O36" i="1" l="1"/>
  <c r="O66" i="1"/>
  <c r="O45" i="1"/>
  <c r="O39" i="1"/>
  <c r="O32" i="1"/>
  <c r="O28" i="1"/>
  <c r="O35" i="1"/>
  <c r="O62" i="1"/>
  <c r="O54" i="1"/>
  <c r="O38" i="1"/>
  <c r="O30" i="1"/>
  <c r="O50" i="1"/>
  <c r="O43" i="1"/>
  <c r="O40" i="1"/>
  <c r="O24" i="1"/>
  <c r="O23" i="1"/>
  <c r="O51" i="1"/>
  <c r="O46" i="1"/>
  <c r="O53" i="1"/>
  <c r="O34" i="1"/>
  <c r="O65" i="1"/>
  <c r="O41" i="1"/>
  <c r="O47" i="1"/>
  <c r="O56" i="1"/>
  <c r="O44" i="1"/>
  <c r="O67" i="1"/>
  <c r="O59" i="1"/>
  <c r="O63" i="1"/>
  <c r="O25" i="1"/>
  <c r="O26" i="1"/>
  <c r="O33" i="1"/>
  <c r="O69" i="1"/>
  <c r="O64" i="1"/>
  <c r="O27" i="1"/>
  <c r="O52" i="1"/>
  <c r="O48" i="1"/>
  <c r="O21" i="1"/>
  <c r="O29" i="1"/>
  <c r="C15" i="1"/>
  <c r="F18" i="1" s="1"/>
  <c r="F19" i="1" s="1"/>
  <c r="O31" i="1"/>
  <c r="O22" i="1"/>
  <c r="O42" i="1"/>
  <c r="O58" i="1"/>
  <c r="O68" i="1"/>
  <c r="O60" i="1"/>
  <c r="O37" i="1"/>
  <c r="O57" i="1"/>
  <c r="O55" i="1"/>
  <c r="O61" i="1"/>
  <c r="O49" i="1"/>
  <c r="C16" i="1"/>
  <c r="D18" i="1" s="1"/>
  <c r="I29" i="1"/>
  <c r="C18" i="1" l="1"/>
</calcChain>
</file>

<file path=xl/sharedStrings.xml><?xml version="1.0" encoding="utf-8"?>
<sst xmlns="http://schemas.openxmlformats.org/spreadsheetml/2006/main" count="519" uniqueCount="247">
  <si>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</si>
  <si>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</si>
  <si>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</si>
  <si>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</si>
  <si>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</si>
  <si>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</si>
  <si>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</si>
  <si>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</si>
  <si>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</si>
  <si>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</si>
  <si>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</si>
  <si>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</si>
  <si>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</si>
  <si>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</si>
  <si>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</si>
  <si>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</si>
  <si>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</si>
  <si>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</si>
  <si>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</si>
  <si>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</si>
  <si>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</si>
  <si>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</si>
  <si>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</si>
  <si>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</si>
  <si>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</si>
  <si>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</si>
  <si>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</si>
  <si>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</si>
  <si>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</si>
  <si>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phe</t>
  </si>
  <si>
    <t>B</t>
  </si>
  <si>
    <t>BAV-M 62</t>
  </si>
  <si>
    <t>K</t>
  </si>
  <si>
    <t>V</t>
  </si>
  <si>
    <t>BAV-M 80</t>
  </si>
  <si>
    <t>ccd</t>
  </si>
  <si>
    <t>Diethelm</t>
  </si>
  <si>
    <t>R</t>
  </si>
  <si>
    <t>BBSAG Bull.118</t>
  </si>
  <si>
    <t>II</t>
  </si>
  <si>
    <t>IBVS 4222</t>
  </si>
  <si>
    <t>EA/DM</t>
  </si>
  <si>
    <t>IBVS 5594</t>
  </si>
  <si>
    <t>I</t>
  </si>
  <si>
    <t># of data points:</t>
  </si>
  <si>
    <t>RX Dra / GSC 03931-01040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</si>
  <si>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</si>
  <si>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</si>
  <si>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</si>
  <si>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</si>
  <si>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</si>
  <si>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</si>
  <si>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</si>
  <si>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</si>
  <si>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5874</t>
  </si>
  <si>
    <t>Add cycle</t>
  </si>
  <si>
    <t>Old Cycle</t>
  </si>
  <si>
    <t>IBVS 5835</t>
  </si>
  <si>
    <t>IBVS 5992</t>
  </si>
  <si>
    <t>IBVS 6007</t>
  </si>
  <si>
    <t>IBVS 6029</t>
  </si>
  <si>
    <t>OEJV 0160</t>
  </si>
  <si>
    <t>OEJV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</si>
  <si>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</si>
  <si>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</si>
  <si>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</si>
  <si>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</si>
  <si>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</si>
  <si>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</si>
  <si>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</si>
  <si>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</si>
  <si>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</si>
  <si>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</si>
  <si>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</si>
  <si>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</si>
  <si>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</si>
  <si>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</si>
  <si>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2417502.40 </t>
  </si>
  <si>
    <t> 18.10.1906 21:36 </t>
  </si>
  <si>
    <t> -0.01 </t>
  </si>
  <si>
    <t>V </t>
  </si>
  <si>
    <t> S.Blazko </t>
  </si>
  <si>
    <t> AN 4128 </t>
  </si>
  <si>
    <t>2417551.631 </t>
  </si>
  <si>
    <t> 07.12.1906 03:08 </t>
  </si>
  <si>
    <t> E.S.Haynes </t>
  </si>
  <si>
    <t> LAWS 2.27 </t>
  </si>
  <si>
    <t>2417553.548 </t>
  </si>
  <si>
    <t> 09.12.1906 01:09 </t>
  </si>
  <si>
    <t> 0.021 </t>
  </si>
  <si>
    <t>2417570.575 </t>
  </si>
  <si>
    <t> 26.12.1906 01:48 </t>
  </si>
  <si>
    <t> 0.009 </t>
  </si>
  <si>
    <t> F.H.Seares </t>
  </si>
  <si>
    <t>2417615.965 </t>
  </si>
  <si>
    <t> 09.02.1907 11:09 </t>
  </si>
  <si>
    <t> -0.038 </t>
  </si>
  <si>
    <t> Seares &amp; Haynes </t>
  </si>
  <si>
    <t>2417689.859 </t>
  </si>
  <si>
    <t> 24.04.1907 08:36 </t>
  </si>
  <si>
    <t> 0.022 </t>
  </si>
  <si>
    <t>2418043.857 </t>
  </si>
  <si>
    <t> 12.04.1908 08:34 </t>
  </si>
  <si>
    <t> -0.008 </t>
  </si>
  <si>
    <t>2418132.829 </t>
  </si>
  <si>
    <t> 10.07.1908 07:53 </t>
  </si>
  <si>
    <t> -0.016 </t>
  </si>
  <si>
    <t>2418136.604 </t>
  </si>
  <si>
    <t> 14.07.1908 02:29 </t>
  </si>
  <si>
    <t> -0.027 </t>
  </si>
  <si>
    <t>2418153.651 </t>
  </si>
  <si>
    <t> 31.07.1908 03:37 </t>
  </si>
  <si>
    <t> -0.019 </t>
  </si>
  <si>
    <t>2418507.675 </t>
  </si>
  <si>
    <t> 20.07.1909 04:12 </t>
  </si>
  <si>
    <t> -0.022 </t>
  </si>
  <si>
    <t>2418931.769 </t>
  </si>
  <si>
    <t> 17.09.1910 06:27 </t>
  </si>
  <si>
    <t> -0.004 </t>
  </si>
  <si>
    <t>2418946.915 </t>
  </si>
  <si>
    <t> 02.10.1910 09:57 </t>
  </si>
  <si>
    <t>2418952.581 </t>
  </si>
  <si>
    <t> 08.10.1910 01:56 </t>
  </si>
  <si>
    <t> -0.017 </t>
  </si>
  <si>
    <t>2418967.724 </t>
  </si>
  <si>
    <t> 23.10.1910 05:22 </t>
  </si>
  <si>
    <t>2424594.310 </t>
  </si>
  <si>
    <t> 19.03.1926 19:26 </t>
  </si>
  <si>
    <t> -0.007 </t>
  </si>
  <si>
    <t> K.Kordylewski </t>
  </si>
  <si>
    <t> CRAC 25 </t>
  </si>
  <si>
    <t>2425508.730 </t>
  </si>
  <si>
    <t> 19.09.1928 05:31 </t>
  </si>
  <si>
    <t> 0.000 </t>
  </si>
  <si>
    <t> D.J.Martinoff </t>
  </si>
  <si>
    <t> BKZ 1.5 </t>
  </si>
  <si>
    <t> E.J.Woodward </t>
  </si>
  <si>
    <t> HB 919.7 </t>
  </si>
  <si>
    <t>2425620.430 </t>
  </si>
  <si>
    <t> 08.01.1929 22:19 </t>
  </si>
  <si>
    <t> 0.002 </t>
  </si>
  <si>
    <t> AAC 2.73 </t>
  </si>
  <si>
    <t>2427070.615 </t>
  </si>
  <si>
    <t> 29.12.1932 02:45 </t>
  </si>
  <si>
    <t>2429766.507 </t>
  </si>
  <si>
    <t> 17.05.1940 00:10 </t>
  </si>
  <si>
    <t> S.Gaposchkin </t>
  </si>
  <si>
    <t> HA 113.73 </t>
  </si>
  <si>
    <t>2448804.5233 </t>
  </si>
  <si>
    <t> 01.07.1992 00:33 </t>
  </si>
  <si>
    <t> 0.0377 </t>
  </si>
  <si>
    <t>E </t>
  </si>
  <si>
    <t>G</t>
  </si>
  <si>
    <t> F.Agerer </t>
  </si>
  <si>
    <t>BAVM 62 </t>
  </si>
  <si>
    <t>2448804.5240 </t>
  </si>
  <si>
    <t> 01.07.1992 00:34 </t>
  </si>
  <si>
    <t> 0.0384 </t>
  </si>
  <si>
    <t>B;V</t>
  </si>
  <si>
    <t>2449107.4401 </t>
  </si>
  <si>
    <t> 29.04.1993 22:33 </t>
  </si>
  <si>
    <t> 0.0435 </t>
  </si>
  <si>
    <t>2449107.4403 </t>
  </si>
  <si>
    <t> 29.04.1993 22:34 </t>
  </si>
  <si>
    <t> 0.0437 </t>
  </si>
  <si>
    <t>2449124.4755 </t>
  </si>
  <si>
    <t> 16.05.1993 23:24 </t>
  </si>
  <si>
    <t> 0.0401 </t>
  </si>
  <si>
    <t>o</t>
  </si>
  <si>
    <t>2449639.427 </t>
  </si>
  <si>
    <t> 13.10.1994 22:14 </t>
  </si>
  <si>
    <t> 0.043 </t>
  </si>
  <si>
    <t>BAVM 80 </t>
  </si>
  <si>
    <t>2449639.431 </t>
  </si>
  <si>
    <t> 13.10.1994 22:20 </t>
  </si>
  <si>
    <t> 0.047 </t>
  </si>
  <si>
    <t>2450951.4123 </t>
  </si>
  <si>
    <t> 17.05.1998 21:53 </t>
  </si>
  <si>
    <t> 0.0444 </t>
  </si>
  <si>
    <t>?</t>
  </si>
  <si>
    <t> R.Diethelm </t>
  </si>
  <si>
    <t> BBS 118 </t>
  </si>
  <si>
    <t>2452509.5179 </t>
  </si>
  <si>
    <t> 23.08.2002 00:25 </t>
  </si>
  <si>
    <t> 0.0511 </t>
  </si>
  <si>
    <t> Sarounova &amp; Wolf </t>
  </si>
  <si>
    <t>IBVS 5594 </t>
  </si>
  <si>
    <t>2452602.2834 </t>
  </si>
  <si>
    <t> 23.11.2002 18:48 </t>
  </si>
  <si>
    <t> 0.0501 </t>
  </si>
  <si>
    <t>2453592.4166 </t>
  </si>
  <si>
    <t> 09.08.2005 21:59 </t>
  </si>
  <si>
    <t> 0.0427 </t>
  </si>
  <si>
    <t>IBVS 5713 </t>
  </si>
  <si>
    <t>2454192.5694 </t>
  </si>
  <si>
    <t> 02.04.2007 01:39 </t>
  </si>
  <si>
    <t> 0.0529 </t>
  </si>
  <si>
    <t>C </t>
  </si>
  <si>
    <t> T.Borkovits et al. </t>
  </si>
  <si>
    <t>IBVS 5835 </t>
  </si>
  <si>
    <t>2454196.3531 </t>
  </si>
  <si>
    <t> 05.04.2007 20:28 </t>
  </si>
  <si>
    <t> 0.0502 </t>
  </si>
  <si>
    <t>-I</t>
  </si>
  <si>
    <t>BAVM 186 </t>
  </si>
  <si>
    <t>2454601.5019 </t>
  </si>
  <si>
    <t> 15.05.2008 00:02 </t>
  </si>
  <si>
    <t>9798</t>
  </si>
  <si>
    <t> 0.0554 </t>
  </si>
  <si>
    <t>BAVM 201 </t>
  </si>
  <si>
    <t>2455381.4984 </t>
  </si>
  <si>
    <t> 03.07.2010 23:57 </t>
  </si>
  <si>
    <t>10004</t>
  </si>
  <si>
    <t> 0.0558 </t>
  </si>
  <si>
    <t>BAVM 215 </t>
  </si>
  <si>
    <t>2455712.8093 </t>
  </si>
  <si>
    <t> 31.05.2011 07:25 </t>
  </si>
  <si>
    <t>10091.5</t>
  </si>
  <si>
    <t> 0.0577 </t>
  </si>
  <si>
    <t>IBVS 5992 </t>
  </si>
  <si>
    <t>2455807.4674 </t>
  </si>
  <si>
    <t> 02.09.2011 23:13 </t>
  </si>
  <si>
    <t>10116.5</t>
  </si>
  <si>
    <t> 0.0561 </t>
  </si>
  <si>
    <t> H.Ku?akova </t>
  </si>
  <si>
    <t>OEJV 0160 </t>
  </si>
  <si>
    <t>2455807.4675 </t>
  </si>
  <si>
    <t> 0.0562 </t>
  </si>
  <si>
    <t>2455807.4679 </t>
  </si>
  <si>
    <t> 0.0566 </t>
  </si>
  <si>
    <t>2455862.37284 </t>
  </si>
  <si>
    <t> 27.10.2011 20:56 </t>
  </si>
  <si>
    <t>10131</t>
  </si>
  <si>
    <t> 0.05893 </t>
  </si>
  <si>
    <t> H.Kucáková </t>
  </si>
  <si>
    <t>IBVS 6007 </t>
  </si>
  <si>
    <t>2456047.9050 </t>
  </si>
  <si>
    <t> 30.04.2012 09:43 </t>
  </si>
  <si>
    <t>10180</t>
  </si>
  <si>
    <t> 0.0581 </t>
  </si>
  <si>
    <t>IBVS 6029 </t>
  </si>
  <si>
    <t>2456871.4449 </t>
  </si>
  <si>
    <t> 01.08.2014 22:40 </t>
  </si>
  <si>
    <t>10397.5</t>
  </si>
  <si>
    <t> 0.0584 </t>
  </si>
  <si>
    <t>BAVM 238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</si>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</sst>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1" fillId="0" borderId="0" xfId="42" applyFont="1" applyAlignment="1">
      <alignment wrapText="1"/>
    </xf>
    <xf numFmtId="0" fontId="21" fillId="0" borderId="0" xfId="42" applyFont="1" applyAlignment="1">
      <alignment horizontal="center" wrapText="1"/>
    </xf>
    <xf numFmtId="0" fontId="21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Dra - O-C Diagr.</a:t>
            </a:r>
          </a:p>
        </c:rich>
      </c:tx>
      <c:layout>
        <c:manualLayout>
          <c:xMode val="edge"/>
          <c:yMode val="edge"/>
          <c:x val="0.360595185824820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1018394061479"/>
          <c:y val="0.14769252958613219"/>
          <c:w val="0.7806698535064161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8F-4E10-9C60-18D13769FC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-1.0999999998603016E-2</c:v>
                </c:pt>
                <c:pt idx="2">
                  <c:v>-3.051799998502247E-3</c:v>
                </c:pt>
                <c:pt idx="3">
                  <c:v>2.0753900000272552E-2</c:v>
                </c:pt>
                <c:pt idx="4">
                  <c:v>9.00520000141114E-3</c:v>
                </c:pt>
                <c:pt idx="5">
                  <c:v>-3.7658000001101755E-2</c:v>
                </c:pt>
                <c:pt idx="6">
                  <c:v>2.1764299999631476E-2</c:v>
                </c:pt>
                <c:pt idx="7">
                  <c:v>-7.5698000000556931E-3</c:v>
                </c:pt>
                <c:pt idx="8">
                  <c:v>-1.5701899999839952E-2</c:v>
                </c:pt>
                <c:pt idx="9">
                  <c:v>-2.7090499999758322E-2</c:v>
                </c:pt>
                <c:pt idx="10">
                  <c:v>-1.8839199998183176E-2</c:v>
                </c:pt>
                <c:pt idx="11">
                  <c:v>-2.2173299999849405E-2</c:v>
                </c:pt>
                <c:pt idx="12">
                  <c:v>-3.6964999999327119E-3</c:v>
                </c:pt>
                <c:pt idx="13">
                  <c:v>-3.2508999975107145E-3</c:v>
                </c:pt>
                <c:pt idx="14">
                  <c:v>-1.6833800000313204E-2</c:v>
                </c:pt>
                <c:pt idx="15">
                  <c:v>-1.9388200002140366E-2</c:v>
                </c:pt>
                <c:pt idx="16">
                  <c:v>-6.8477999993774574E-3</c:v>
                </c:pt>
                <c:pt idx="17">
                  <c:v>3.0530000003636815E-4</c:v>
                </c:pt>
                <c:pt idx="18">
                  <c:v>3.0530000003636815E-4</c:v>
                </c:pt>
                <c:pt idx="19">
                  <c:v>1.8416000020806678E-3</c:v>
                </c:pt>
                <c:pt idx="20">
                  <c:v>7.800001185387373E-6</c:v>
                </c:pt>
                <c:pt idx="21">
                  <c:v>-1.6675399998348439E-2</c:v>
                </c:pt>
                <c:pt idx="23">
                  <c:v>3.8443799996457528E-2</c:v>
                </c:pt>
                <c:pt idx="27">
                  <c:v>4.2757499999424908E-2</c:v>
                </c:pt>
                <c:pt idx="29">
                  <c:v>4.6757499992963858E-2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8F-4E10-9C60-18D13769FC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2">
                  <c:v>3.77437999995891E-2</c:v>
                </c:pt>
                <c:pt idx="24">
                  <c:v>4.345580000517657E-2</c:v>
                </c:pt>
                <c:pt idx="25">
                  <c:v>4.3655800007400103E-2</c:v>
                </c:pt>
                <c:pt idx="26">
                  <c:v>4.0107100001478102E-2</c:v>
                </c:pt>
                <c:pt idx="28">
                  <c:v>4.2757499999424908E-2</c:v>
                </c:pt>
                <c:pt idx="30">
                  <c:v>4.6757499992963858E-2</c:v>
                </c:pt>
                <c:pt idx="31">
                  <c:v>4.4407600005797576E-2</c:v>
                </c:pt>
                <c:pt idx="34">
                  <c:v>4.2659099999582395E-2</c:v>
                </c:pt>
                <c:pt idx="36">
                  <c:v>5.0177400000393391E-2</c:v>
                </c:pt>
                <c:pt idx="37">
                  <c:v>5.5397200005245395E-2</c:v>
                </c:pt>
                <c:pt idx="38">
                  <c:v>5.5845599999884143E-2</c:v>
                </c:pt>
                <c:pt idx="45">
                  <c:v>5.8431500001461245E-2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8F-4E10-9C60-18D13769FC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2">
                  <c:v>5.1098700001602992E-2</c:v>
                </c:pt>
                <c:pt idx="33">
                  <c:v>5.0058000000717584E-2</c:v>
                </c:pt>
                <c:pt idx="35">
                  <c:v>5.2865999998175539E-2</c:v>
                </c:pt>
                <c:pt idx="39">
                  <c:v>5.7743099998333491E-2</c:v>
                </c:pt>
                <c:pt idx="40">
                  <c:v>5.6128100004571024E-2</c:v>
                </c:pt>
                <c:pt idx="41">
                  <c:v>5.6228100002044812E-2</c:v>
                </c:pt>
                <c:pt idx="42">
                  <c:v>5.6628100006491877E-2</c:v>
                </c:pt>
                <c:pt idx="43">
                  <c:v>5.893340000329772E-2</c:v>
                </c:pt>
                <c:pt idx="44">
                  <c:v>5.8052000000316184E-2</c:v>
                </c:pt>
                <c:pt idx="46">
                  <c:v>6.0229499998968095E-2</c:v>
                </c:pt>
                <c:pt idx="47">
                  <c:v>6.1911999997391831E-2</c:v>
                </c:pt>
                <c:pt idx="48">
                  <c:v>6.0126600001240149E-2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8F-4E10-9C60-18D13769FC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8F-4E10-9C60-18D13769FC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8F-4E10-9C60-18D13769FC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8F-4E10-9C60-18D13769FC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-1.2230307615037357E-2</c:v>
                </c:pt>
                <c:pt idx="1">
                  <c:v>-1.2230307615037357E-2</c:v>
                </c:pt>
                <c:pt idx="2">
                  <c:v>-1.2143524293514252E-2</c:v>
                </c:pt>
                <c:pt idx="3">
                  <c:v>-1.2140186473455671E-2</c:v>
                </c:pt>
                <c:pt idx="4">
                  <c:v>-1.2110146092928443E-2</c:v>
                </c:pt>
                <c:pt idx="5">
                  <c:v>-1.2030038411522502E-2</c:v>
                </c:pt>
                <c:pt idx="6">
                  <c:v>-1.1899863429237845E-2</c:v>
                </c:pt>
                <c:pt idx="7">
                  <c:v>-1.1275691078283211E-2</c:v>
                </c:pt>
                <c:pt idx="8">
                  <c:v>-1.1118813535529907E-2</c:v>
                </c:pt>
                <c:pt idx="9">
                  <c:v>-1.1112137895412745E-2</c:v>
                </c:pt>
                <c:pt idx="10">
                  <c:v>-1.1082097514885517E-2</c:v>
                </c:pt>
                <c:pt idx="11">
                  <c:v>-1.0457925163930883E-2</c:v>
                </c:pt>
                <c:pt idx="12">
                  <c:v>-9.7102534708087551E-3</c:v>
                </c:pt>
                <c:pt idx="13">
                  <c:v>-9.683550910340108E-3</c:v>
                </c:pt>
                <c:pt idx="14">
                  <c:v>-9.6735374501643653E-3</c:v>
                </c:pt>
                <c:pt idx="15">
                  <c:v>-9.6468348896957164E-3</c:v>
                </c:pt>
                <c:pt idx="16">
                  <c:v>2.7316632440680701E-4</c:v>
                </c:pt>
                <c:pt idx="17">
                  <c:v>1.8853334127013968E-3</c:v>
                </c:pt>
                <c:pt idx="18">
                  <c:v>1.8853334127013968E-3</c:v>
                </c:pt>
                <c:pt idx="19">
                  <c:v>2.0822647961576714E-3</c:v>
                </c:pt>
                <c:pt idx="20">
                  <c:v>4.639034961030665E-3</c:v>
                </c:pt>
                <c:pt idx="21">
                  <c:v>9.3920907244499086E-3</c:v>
                </c:pt>
                <c:pt idx="22">
                  <c:v>4.2957209233539739E-2</c:v>
                </c:pt>
                <c:pt idx="23">
                  <c:v>4.2957209233539739E-2</c:v>
                </c:pt>
                <c:pt idx="24">
                  <c:v>4.3491260442912689E-2</c:v>
                </c:pt>
                <c:pt idx="25">
                  <c:v>4.3491260442912689E-2</c:v>
                </c:pt>
                <c:pt idx="26">
                  <c:v>4.3521300823439919E-2</c:v>
                </c:pt>
                <c:pt idx="27">
                  <c:v>4.442918787937393E-2</c:v>
                </c:pt>
                <c:pt idx="28">
                  <c:v>4.442918787937393E-2</c:v>
                </c:pt>
                <c:pt idx="29">
                  <c:v>4.442918787937393E-2</c:v>
                </c:pt>
                <c:pt idx="30">
                  <c:v>4.442918787937393E-2</c:v>
                </c:pt>
                <c:pt idx="31">
                  <c:v>4.6742297179970513E-2</c:v>
                </c:pt>
                <c:pt idx="32">
                  <c:v>4.9489323088182623E-2</c:v>
                </c:pt>
                <c:pt idx="33">
                  <c:v>4.9652876271053088E-2</c:v>
                </c:pt>
                <c:pt idx="34">
                  <c:v>5.1398556161690916E-2</c:v>
                </c:pt>
                <c:pt idx="35">
                  <c:v>5.2456645120261068E-2</c:v>
                </c:pt>
                <c:pt idx="36">
                  <c:v>5.2463320760378233E-2</c:v>
                </c:pt>
                <c:pt idx="37">
                  <c:v>5.3177614252914555E-2</c:v>
                </c:pt>
                <c:pt idx="38">
                  <c:v>5.4552796117049891E-2</c:v>
                </c:pt>
                <c:pt idx="39">
                  <c:v>5.513691462730156E-2</c:v>
                </c:pt>
                <c:pt idx="40">
                  <c:v>5.5303805630230608E-2</c:v>
                </c:pt>
                <c:pt idx="41">
                  <c:v>5.5303805630230608E-2</c:v>
                </c:pt>
                <c:pt idx="42">
                  <c:v>5.5303805630230608E-2</c:v>
                </c:pt>
                <c:pt idx="43">
                  <c:v>5.5400602411929449E-2</c:v>
                </c:pt>
                <c:pt idx="44">
                  <c:v>5.572770877767038E-2</c:v>
                </c:pt>
                <c:pt idx="45">
                  <c:v>5.7179660503153089E-2</c:v>
                </c:pt>
                <c:pt idx="46">
                  <c:v>5.7646955311354421E-2</c:v>
                </c:pt>
                <c:pt idx="47">
                  <c:v>5.8397964824535124E-2</c:v>
                </c:pt>
                <c:pt idx="48">
                  <c:v>5.8992096794962527E-2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8F-4E10-9C60-18D13769FCE3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8F-4E10-9C60-18D13769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0232"/>
        <c:axId val="1"/>
      </c:scatterChart>
      <c:valAx>
        <c:axId val="765820232"/>
        <c:scaling>
          <c:orientation val="minMax"/>
          <c:max val="12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226951185005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0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762081784386616E-2"/>
          <c:y val="0.92000129214617399"/>
          <c:w val="0.9368037545492686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Dra - O-C Diagr.</a:t>
            </a:r>
          </a:p>
        </c:rich>
      </c:tx>
      <c:layout>
        <c:manualLayout>
          <c:xMode val="edge"/>
          <c:yMode val="edge"/>
          <c:x val="0.3617810760667903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723926380368099"/>
          <c:w val="0.784786641929499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C9-43F4-9FEF-E951844DB4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-1.0999999998603016E-2</c:v>
                </c:pt>
                <c:pt idx="2">
                  <c:v>-3.051799998502247E-3</c:v>
                </c:pt>
                <c:pt idx="3">
                  <c:v>2.0753900000272552E-2</c:v>
                </c:pt>
                <c:pt idx="4">
                  <c:v>9.00520000141114E-3</c:v>
                </c:pt>
                <c:pt idx="5">
                  <c:v>-3.7658000001101755E-2</c:v>
                </c:pt>
                <c:pt idx="6">
                  <c:v>2.1764299999631476E-2</c:v>
                </c:pt>
                <c:pt idx="7">
                  <c:v>-7.5698000000556931E-3</c:v>
                </c:pt>
                <c:pt idx="8">
                  <c:v>-1.5701899999839952E-2</c:v>
                </c:pt>
                <c:pt idx="9">
                  <c:v>-2.7090499999758322E-2</c:v>
                </c:pt>
                <c:pt idx="10">
                  <c:v>-1.8839199998183176E-2</c:v>
                </c:pt>
                <c:pt idx="11">
                  <c:v>-2.2173299999849405E-2</c:v>
                </c:pt>
                <c:pt idx="12">
                  <c:v>-3.6964999999327119E-3</c:v>
                </c:pt>
                <c:pt idx="13">
                  <c:v>-3.2508999975107145E-3</c:v>
                </c:pt>
                <c:pt idx="14">
                  <c:v>-1.6833800000313204E-2</c:v>
                </c:pt>
                <c:pt idx="15">
                  <c:v>-1.9388200002140366E-2</c:v>
                </c:pt>
                <c:pt idx="16">
                  <c:v>-6.8477999993774574E-3</c:v>
                </c:pt>
                <c:pt idx="17">
                  <c:v>3.0530000003636815E-4</c:v>
                </c:pt>
                <c:pt idx="18">
                  <c:v>3.0530000003636815E-4</c:v>
                </c:pt>
                <c:pt idx="19">
                  <c:v>1.8416000020806678E-3</c:v>
                </c:pt>
                <c:pt idx="20">
                  <c:v>7.800001185387373E-6</c:v>
                </c:pt>
                <c:pt idx="21">
                  <c:v>-1.6675399998348439E-2</c:v>
                </c:pt>
                <c:pt idx="23">
                  <c:v>3.8443799996457528E-2</c:v>
                </c:pt>
                <c:pt idx="27">
                  <c:v>4.2757499999424908E-2</c:v>
                </c:pt>
                <c:pt idx="29">
                  <c:v>4.6757499992963858E-2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C9-43F4-9FEF-E951844DB4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2">
                  <c:v>3.77437999995891E-2</c:v>
                </c:pt>
                <c:pt idx="24">
                  <c:v>4.345580000517657E-2</c:v>
                </c:pt>
                <c:pt idx="25">
                  <c:v>4.3655800007400103E-2</c:v>
                </c:pt>
                <c:pt idx="26">
                  <c:v>4.0107100001478102E-2</c:v>
                </c:pt>
                <c:pt idx="28">
                  <c:v>4.2757499999424908E-2</c:v>
                </c:pt>
                <c:pt idx="30">
                  <c:v>4.6757499992963858E-2</c:v>
                </c:pt>
                <c:pt idx="31">
                  <c:v>4.4407600005797576E-2</c:v>
                </c:pt>
                <c:pt idx="34">
                  <c:v>4.2659099999582395E-2</c:v>
                </c:pt>
                <c:pt idx="36">
                  <c:v>5.0177400000393391E-2</c:v>
                </c:pt>
                <c:pt idx="37">
                  <c:v>5.5397200005245395E-2</c:v>
                </c:pt>
                <c:pt idx="38">
                  <c:v>5.5845599999884143E-2</c:v>
                </c:pt>
                <c:pt idx="45">
                  <c:v>5.8431500001461245E-2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C9-43F4-9FEF-E951844DB4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32">
                  <c:v>5.1098700001602992E-2</c:v>
                </c:pt>
                <c:pt idx="33">
                  <c:v>5.0058000000717584E-2</c:v>
                </c:pt>
                <c:pt idx="35">
                  <c:v>5.2865999998175539E-2</c:v>
                </c:pt>
                <c:pt idx="39">
                  <c:v>5.7743099998333491E-2</c:v>
                </c:pt>
                <c:pt idx="40">
                  <c:v>5.6128100004571024E-2</c:v>
                </c:pt>
                <c:pt idx="41">
                  <c:v>5.6228100002044812E-2</c:v>
                </c:pt>
                <c:pt idx="42">
                  <c:v>5.6628100006491877E-2</c:v>
                </c:pt>
                <c:pt idx="43">
                  <c:v>5.893340000329772E-2</c:v>
                </c:pt>
                <c:pt idx="44">
                  <c:v>5.8052000000316184E-2</c:v>
                </c:pt>
                <c:pt idx="46">
                  <c:v>6.0229499998968095E-2</c:v>
                </c:pt>
                <c:pt idx="47">
                  <c:v>6.1911999997391831E-2</c:v>
                </c:pt>
                <c:pt idx="48">
                  <c:v>6.0126600001240149E-2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C9-43F4-9FEF-E951844DB4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C9-43F4-9FEF-E951844DB4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C9-43F4-9FEF-E951844DB4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3.0000000000000001E-3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2.0000000000000001E-4</c:v>
                  </c:pt>
                  <c:pt idx="33">
                    <c:v>6.9999999999999994E-5</c:v>
                  </c:pt>
                  <c:pt idx="34">
                    <c:v>2.2000000000000001E-3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4.5999999999999999E-3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4.4000000000000002E-4</c:v>
                  </c:pt>
                  <c:pt idx="44">
                    <c:v>5.0000000000000001E-4</c:v>
                  </c:pt>
                  <c:pt idx="45">
                    <c:v>4.1999999999999997E-3</c:v>
                  </c:pt>
                  <c:pt idx="46">
                    <c:v>7.7999999999999996E-3</c:v>
                  </c:pt>
                  <c:pt idx="47">
                    <c:v>8.0000000000000004E-4</c:v>
                  </c:pt>
                  <c:pt idx="4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C9-43F4-9FEF-E951844DB4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-1.2230307615037357E-2</c:v>
                </c:pt>
                <c:pt idx="1">
                  <c:v>-1.2230307615037357E-2</c:v>
                </c:pt>
                <c:pt idx="2">
                  <c:v>-1.2143524293514252E-2</c:v>
                </c:pt>
                <c:pt idx="3">
                  <c:v>-1.2140186473455671E-2</c:v>
                </c:pt>
                <c:pt idx="4">
                  <c:v>-1.2110146092928443E-2</c:v>
                </c:pt>
                <c:pt idx="5">
                  <c:v>-1.2030038411522502E-2</c:v>
                </c:pt>
                <c:pt idx="6">
                  <c:v>-1.1899863429237845E-2</c:v>
                </c:pt>
                <c:pt idx="7">
                  <c:v>-1.1275691078283211E-2</c:v>
                </c:pt>
                <c:pt idx="8">
                  <c:v>-1.1118813535529907E-2</c:v>
                </c:pt>
                <c:pt idx="9">
                  <c:v>-1.1112137895412745E-2</c:v>
                </c:pt>
                <c:pt idx="10">
                  <c:v>-1.1082097514885517E-2</c:v>
                </c:pt>
                <c:pt idx="11">
                  <c:v>-1.0457925163930883E-2</c:v>
                </c:pt>
                <c:pt idx="12">
                  <c:v>-9.7102534708087551E-3</c:v>
                </c:pt>
                <c:pt idx="13">
                  <c:v>-9.683550910340108E-3</c:v>
                </c:pt>
                <c:pt idx="14">
                  <c:v>-9.6735374501643653E-3</c:v>
                </c:pt>
                <c:pt idx="15">
                  <c:v>-9.6468348896957164E-3</c:v>
                </c:pt>
                <c:pt idx="16">
                  <c:v>2.7316632440680701E-4</c:v>
                </c:pt>
                <c:pt idx="17">
                  <c:v>1.8853334127013968E-3</c:v>
                </c:pt>
                <c:pt idx="18">
                  <c:v>1.8853334127013968E-3</c:v>
                </c:pt>
                <c:pt idx="19">
                  <c:v>2.0822647961576714E-3</c:v>
                </c:pt>
                <c:pt idx="20">
                  <c:v>4.639034961030665E-3</c:v>
                </c:pt>
                <c:pt idx="21">
                  <c:v>9.3920907244499086E-3</c:v>
                </c:pt>
                <c:pt idx="22">
                  <c:v>4.2957209233539739E-2</c:v>
                </c:pt>
                <c:pt idx="23">
                  <c:v>4.2957209233539739E-2</c:v>
                </c:pt>
                <c:pt idx="24">
                  <c:v>4.3491260442912689E-2</c:v>
                </c:pt>
                <c:pt idx="25">
                  <c:v>4.3491260442912689E-2</c:v>
                </c:pt>
                <c:pt idx="26">
                  <c:v>4.3521300823439919E-2</c:v>
                </c:pt>
                <c:pt idx="27">
                  <c:v>4.442918787937393E-2</c:v>
                </c:pt>
                <c:pt idx="28">
                  <c:v>4.442918787937393E-2</c:v>
                </c:pt>
                <c:pt idx="29">
                  <c:v>4.442918787937393E-2</c:v>
                </c:pt>
                <c:pt idx="30">
                  <c:v>4.442918787937393E-2</c:v>
                </c:pt>
                <c:pt idx="31">
                  <c:v>4.6742297179970513E-2</c:v>
                </c:pt>
                <c:pt idx="32">
                  <c:v>4.9489323088182623E-2</c:v>
                </c:pt>
                <c:pt idx="33">
                  <c:v>4.9652876271053088E-2</c:v>
                </c:pt>
                <c:pt idx="34">
                  <c:v>5.1398556161690916E-2</c:v>
                </c:pt>
                <c:pt idx="35">
                  <c:v>5.2456645120261068E-2</c:v>
                </c:pt>
                <c:pt idx="36">
                  <c:v>5.2463320760378233E-2</c:v>
                </c:pt>
                <c:pt idx="37">
                  <c:v>5.3177614252914555E-2</c:v>
                </c:pt>
                <c:pt idx="38">
                  <c:v>5.4552796117049891E-2</c:v>
                </c:pt>
                <c:pt idx="39">
                  <c:v>5.513691462730156E-2</c:v>
                </c:pt>
                <c:pt idx="40">
                  <c:v>5.5303805630230608E-2</c:v>
                </c:pt>
                <c:pt idx="41">
                  <c:v>5.5303805630230608E-2</c:v>
                </c:pt>
                <c:pt idx="42">
                  <c:v>5.5303805630230608E-2</c:v>
                </c:pt>
                <c:pt idx="43">
                  <c:v>5.5400602411929449E-2</c:v>
                </c:pt>
                <c:pt idx="44">
                  <c:v>5.572770877767038E-2</c:v>
                </c:pt>
                <c:pt idx="45">
                  <c:v>5.7179660503153089E-2</c:v>
                </c:pt>
                <c:pt idx="46">
                  <c:v>5.7646955311354421E-2</c:v>
                </c:pt>
                <c:pt idx="47">
                  <c:v>5.8397964824535124E-2</c:v>
                </c:pt>
                <c:pt idx="48">
                  <c:v>5.8992096794962527E-2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C9-43F4-9FEF-E951844DB4B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13.5</c:v>
                </c:pt>
                <c:pt idx="4">
                  <c:v>18</c:v>
                </c:pt>
                <c:pt idx="5">
                  <c:v>30</c:v>
                </c:pt>
                <c:pt idx="6">
                  <c:v>49.5</c:v>
                </c:pt>
                <c:pt idx="7">
                  <c:v>143</c:v>
                </c:pt>
                <c:pt idx="8">
                  <c:v>166.5</c:v>
                </c:pt>
                <c:pt idx="9">
                  <c:v>167.5</c:v>
                </c:pt>
                <c:pt idx="10">
                  <c:v>172</c:v>
                </c:pt>
                <c:pt idx="11">
                  <c:v>265.5</c:v>
                </c:pt>
                <c:pt idx="12">
                  <c:v>377.5</c:v>
                </c:pt>
                <c:pt idx="13">
                  <c:v>381.5</c:v>
                </c:pt>
                <c:pt idx="14">
                  <c:v>383</c:v>
                </c:pt>
                <c:pt idx="15">
                  <c:v>387</c:v>
                </c:pt>
                <c:pt idx="16">
                  <c:v>1873</c:v>
                </c:pt>
                <c:pt idx="17">
                  <c:v>2114.5</c:v>
                </c:pt>
                <c:pt idx="18">
                  <c:v>2114.5</c:v>
                </c:pt>
                <c:pt idx="19">
                  <c:v>2144</c:v>
                </c:pt>
                <c:pt idx="20">
                  <c:v>2527</c:v>
                </c:pt>
                <c:pt idx="21">
                  <c:v>3239</c:v>
                </c:pt>
                <c:pt idx="22">
                  <c:v>8267</c:v>
                </c:pt>
                <c:pt idx="23">
                  <c:v>8267</c:v>
                </c:pt>
                <c:pt idx="24">
                  <c:v>8347</c:v>
                </c:pt>
                <c:pt idx="25">
                  <c:v>8347</c:v>
                </c:pt>
                <c:pt idx="26">
                  <c:v>8351.5</c:v>
                </c:pt>
                <c:pt idx="27">
                  <c:v>8487.5</c:v>
                </c:pt>
                <c:pt idx="28">
                  <c:v>8487.5</c:v>
                </c:pt>
                <c:pt idx="29">
                  <c:v>8487.5</c:v>
                </c:pt>
                <c:pt idx="30">
                  <c:v>8487.5</c:v>
                </c:pt>
                <c:pt idx="31">
                  <c:v>8834</c:v>
                </c:pt>
                <c:pt idx="32">
                  <c:v>9245.5</c:v>
                </c:pt>
                <c:pt idx="33">
                  <c:v>9270</c:v>
                </c:pt>
                <c:pt idx="34">
                  <c:v>9531.5</c:v>
                </c:pt>
                <c:pt idx="35">
                  <c:v>9690</c:v>
                </c:pt>
                <c:pt idx="36">
                  <c:v>9691</c:v>
                </c:pt>
                <c:pt idx="37">
                  <c:v>9798</c:v>
                </c:pt>
                <c:pt idx="38">
                  <c:v>10004</c:v>
                </c:pt>
                <c:pt idx="39">
                  <c:v>10091.5</c:v>
                </c:pt>
                <c:pt idx="40">
                  <c:v>10116.5</c:v>
                </c:pt>
                <c:pt idx="41">
                  <c:v>10116.5</c:v>
                </c:pt>
                <c:pt idx="42">
                  <c:v>10116.5</c:v>
                </c:pt>
                <c:pt idx="43">
                  <c:v>10131</c:v>
                </c:pt>
                <c:pt idx="44">
                  <c:v>10180</c:v>
                </c:pt>
                <c:pt idx="45">
                  <c:v>10397.5</c:v>
                </c:pt>
                <c:pt idx="46">
                  <c:v>10467.5</c:v>
                </c:pt>
                <c:pt idx="47">
                  <c:v>10580</c:v>
                </c:pt>
                <c:pt idx="48">
                  <c:v>10669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C9-43F4-9FEF-E951844DB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23200"/>
        <c:axId val="1"/>
      </c:scatterChart>
      <c:valAx>
        <c:axId val="519523200"/>
        <c:scaling>
          <c:orientation val="minMax"/>
          <c:min val="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910946196660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523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513914656771803E-2"/>
          <c:y val="0.92024539877300615"/>
          <c:w val="0.9350649350649350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17</xdr:col>
      <xdr:colOff>428624</xdr:colOff>
      <xdr:row>19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6626EC1-FF08-D40E-6B8F-4BC470143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0</xdr:rowOff>
    </xdr:from>
    <xdr:to>
      <xdr:col>26</xdr:col>
      <xdr:colOff>666750</xdr:colOff>
      <xdr:row>19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3A79C42-7D53-332A-CD2F-5077F4C3E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4" TargetMode="External"/><Relationship Id="rId13" Type="http://schemas.openxmlformats.org/officeDocument/2006/relationships/hyperlink" Target="http://www.bav-astro.de/sfs/BAVM_link.php?BAVMnr=201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80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konkoly.hu/cgi-bin/IBVS?5835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5713" TargetMode="External"/><Relationship Id="rId19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konkoly.hu/cgi-bin/IBVS?5594" TargetMode="External"/><Relationship Id="rId1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88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  <c r="C1" s="10"/>
    </row>
    <row r="2" spans="1:6" x14ac:dyDescent="0.2">
      <c r="A2" t="s">
        <v>26</v>
      </c>
      <c r="B2" s="11" t="s">
        <v>41</v>
      </c>
    </row>
    <row r="4" spans="1:6" ht="14.25" thickTop="1" thickBot="1" x14ac:dyDescent="0.25">
      <c r="A4" s="7" t="s">
        <v>2</v>
      </c>
      <c r="C4" s="3">
        <v>17502.411</v>
      </c>
      <c r="D4" s="4">
        <v>3.7863886</v>
      </c>
    </row>
    <row r="5" spans="1:6" ht="13.5" thickTop="1" x14ac:dyDescent="0.2">
      <c r="A5" s="18" t="s">
        <v>47</v>
      </c>
      <c r="B5" s="19"/>
      <c r="C5" s="20">
        <v>-9.5</v>
      </c>
      <c r="D5" s="19" t="s">
        <v>48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17502.411</v>
      </c>
    </row>
    <row r="8" spans="1:6" x14ac:dyDescent="0.2">
      <c r="A8" t="s">
        <v>5</v>
      </c>
      <c r="C8">
        <f>+D4</f>
        <v>3.7863886</v>
      </c>
    </row>
    <row r="9" spans="1:6" x14ac:dyDescent="0.2">
      <c r="A9" s="32" t="s">
        <v>53</v>
      </c>
      <c r="B9" s="33">
        <v>21</v>
      </c>
      <c r="C9" s="31" t="str">
        <f>"F"&amp;B9</f>
        <v>F21</v>
      </c>
      <c r="D9" s="14" t="str">
        <f>"G"&amp;B9</f>
        <v>G21</v>
      </c>
    </row>
    <row r="10" spans="1:6" ht="13.5" thickBot="1" x14ac:dyDescent="0.25">
      <c r="A10" s="19"/>
      <c r="B10" s="19"/>
      <c r="C10" s="6" t="s">
        <v>22</v>
      </c>
      <c r="D10" s="6" t="s">
        <v>23</v>
      </c>
      <c r="E10" s="19"/>
    </row>
    <row r="11" spans="1:6" x14ac:dyDescent="0.2">
      <c r="A11" s="19" t="s">
        <v>18</v>
      </c>
      <c r="B11" s="19"/>
      <c r="C11" s="30">
        <f ca="1">INTERCEPT(INDIRECT($D$9):G991,INDIRECT($C$9):F991)</f>
        <v>-1.2230307615037357E-2</v>
      </c>
      <c r="D11" s="5"/>
      <c r="E11" s="19"/>
    </row>
    <row r="12" spans="1:6" x14ac:dyDescent="0.2">
      <c r="A12" s="19" t="s">
        <v>19</v>
      </c>
      <c r="B12" s="19"/>
      <c r="C12" s="30">
        <f ca="1">SLOPE(INDIRECT($D$9):G991,INDIRECT($C$9):F991)</f>
        <v>6.6756401171618602E-6</v>
      </c>
      <c r="D12" s="5"/>
      <c r="E12" s="19"/>
    </row>
    <row r="13" spans="1:6" x14ac:dyDescent="0.2">
      <c r="A13" s="19" t="s">
        <v>21</v>
      </c>
      <c r="B13" s="19"/>
      <c r="C13" s="5" t="s">
        <v>16</v>
      </c>
    </row>
    <row r="14" spans="1:6" x14ac:dyDescent="0.2">
      <c r="A14" s="19"/>
      <c r="B14" s="19"/>
      <c r="C14" s="19"/>
    </row>
    <row r="15" spans="1:6" x14ac:dyDescent="0.2">
      <c r="A15" s="21" t="s">
        <v>20</v>
      </c>
      <c r="B15" s="19"/>
      <c r="C15" s="22">
        <f ca="1">(C7+C11)+(C8+C12)*INT(MAX(F21:F3532))</f>
        <v>57899.449965496795</v>
      </c>
      <c r="E15" s="23" t="s">
        <v>55</v>
      </c>
      <c r="F15" s="20">
        <v>1</v>
      </c>
    </row>
    <row r="16" spans="1:6" x14ac:dyDescent="0.2">
      <c r="A16" s="25" t="s">
        <v>6</v>
      </c>
      <c r="B16" s="19"/>
      <c r="C16" s="26">
        <f ca="1">+C8+C12</f>
        <v>3.7863952756401171</v>
      </c>
      <c r="E16" s="23" t="s">
        <v>49</v>
      </c>
      <c r="F16" s="24">
        <f ca="1">NOW()+15018.5+$C$5/24</f>
        <v>60314.579128819445</v>
      </c>
    </row>
    <row r="17" spans="1:21" ht="13.5" thickBot="1" x14ac:dyDescent="0.25">
      <c r="A17" s="23" t="s">
        <v>44</v>
      </c>
      <c r="B17" s="19"/>
      <c r="C17" s="19">
        <f>COUNT(C21:C2190)</f>
        <v>49</v>
      </c>
      <c r="E17" s="23" t="s">
        <v>56</v>
      </c>
      <c r="F17" s="24">
        <f ca="1">ROUND(2*(F16-$C$7)/$C$8,0)/2+F15</f>
        <v>11308</v>
      </c>
    </row>
    <row r="18" spans="1:21" ht="14.25" thickTop="1" thickBot="1" x14ac:dyDescent="0.25">
      <c r="A18" s="25" t="s">
        <v>7</v>
      </c>
      <c r="B18" s="19"/>
      <c r="C18" s="28">
        <f ca="1">+C15</f>
        <v>57899.449965496795</v>
      </c>
      <c r="D18" s="29">
        <f ca="1">+C16</f>
        <v>3.7863952756401171</v>
      </c>
      <c r="E18" s="23" t="s">
        <v>50</v>
      </c>
      <c r="F18" s="14">
        <f ca="1">ROUND(2*(F16-$C$15)/$C$16,0)/2+F15</f>
        <v>639</v>
      </c>
    </row>
    <row r="19" spans="1:21" ht="13.5" thickTop="1" x14ac:dyDescent="0.2">
      <c r="E19" s="23" t="s">
        <v>51</v>
      </c>
      <c r="F19" s="27">
        <f ca="1">+$C$15+$C$16*F18-15018.5-$C$5/24</f>
        <v>45300.852379964163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72</v>
      </c>
      <c r="I20" s="9" t="s">
        <v>74</v>
      </c>
      <c r="J20" s="9" t="s">
        <v>69</v>
      </c>
      <c r="K20" s="9" t="s">
        <v>67</v>
      </c>
      <c r="L20" s="9" t="s">
        <v>62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U20" s="58" t="s">
        <v>246</v>
      </c>
    </row>
    <row r="21" spans="1:21" x14ac:dyDescent="0.2">
      <c r="A21" s="56" t="s">
        <v>82</v>
      </c>
      <c r="B21" s="57" t="s">
        <v>43</v>
      </c>
      <c r="C21" s="56">
        <v>17502.400000000001</v>
      </c>
      <c r="D21" s="56" t="s">
        <v>74</v>
      </c>
      <c r="E21">
        <f>+(C21-C$7)/C$8</f>
        <v>-2.9051429107416538E-3</v>
      </c>
      <c r="F21">
        <f>ROUND(2*E21,0)/2</f>
        <v>0</v>
      </c>
      <c r="G21">
        <f>+C21-(C$7+F21*C$8)</f>
        <v>-1.0999999998603016E-2</v>
      </c>
      <c r="I21">
        <f>+G21</f>
        <v>-1.0999999998603016E-2</v>
      </c>
      <c r="O21">
        <f ca="1">+C$11+C$12*$F21</f>
        <v>-1.2230307615037357E-2</v>
      </c>
      <c r="Q21" s="2">
        <f>+C21-15018.5</f>
        <v>2483.9000000000015</v>
      </c>
    </row>
    <row r="22" spans="1:21" x14ac:dyDescent="0.2">
      <c r="A22" t="s">
        <v>14</v>
      </c>
      <c r="C22" s="16">
        <v>17502.411</v>
      </c>
      <c r="D22" s="16" t="s">
        <v>16</v>
      </c>
      <c r="E22">
        <f>+(C22-C$7)/C$8</f>
        <v>0</v>
      </c>
      <c r="F22">
        <f>ROUND(2*E22,0)/2</f>
        <v>0</v>
      </c>
      <c r="H22" s="14">
        <v>0</v>
      </c>
      <c r="O22">
        <f ca="1">+C$11+C$12*$F22</f>
        <v>-1.2230307615037357E-2</v>
      </c>
      <c r="Q22" s="2">
        <f>+C22-15018.5</f>
        <v>2483.9110000000001</v>
      </c>
    </row>
    <row r="23" spans="1:21" x14ac:dyDescent="0.2">
      <c r="A23" s="56" t="s">
        <v>86</v>
      </c>
      <c r="B23" s="57" t="s">
        <v>43</v>
      </c>
      <c r="C23" s="56">
        <v>17551.631000000001</v>
      </c>
      <c r="D23" s="56" t="s">
        <v>74</v>
      </c>
      <c r="E23">
        <f>+(C23-C$7)/C$8</f>
        <v>12.999194007715206</v>
      </c>
      <c r="F23">
        <f>ROUND(2*E23,0)/2</f>
        <v>13</v>
      </c>
      <c r="G23">
        <f>+C23-(C$7+F23*C$8)</f>
        <v>-3.051799998502247E-3</v>
      </c>
      <c r="I23">
        <f>+G23</f>
        <v>-3.051799998502247E-3</v>
      </c>
      <c r="O23">
        <f ca="1">+C$11+C$12*$F23</f>
        <v>-1.2143524293514252E-2</v>
      </c>
      <c r="Q23" s="2">
        <f>+C23-15018.5</f>
        <v>2533.1310000000012</v>
      </c>
    </row>
    <row r="24" spans="1:21" x14ac:dyDescent="0.2">
      <c r="A24" s="56" t="s">
        <v>86</v>
      </c>
      <c r="B24" s="57" t="s">
        <v>39</v>
      </c>
      <c r="C24" s="56">
        <v>17553.547999999999</v>
      </c>
      <c r="D24" s="56" t="s">
        <v>74</v>
      </c>
      <c r="E24">
        <f>+(C24-C$7)/C$8</f>
        <v>13.505481185950858</v>
      </c>
      <c r="F24">
        <f>ROUND(2*E24,0)/2</f>
        <v>13.5</v>
      </c>
      <c r="G24">
        <f>+C24-(C$7+F24*C$8)</f>
        <v>2.0753900000272552E-2</v>
      </c>
      <c r="I24">
        <f>+G24</f>
        <v>2.0753900000272552E-2</v>
      </c>
      <c r="O24">
        <f ca="1">+C$11+C$12*$F24</f>
        <v>-1.2140186473455671E-2</v>
      </c>
      <c r="Q24" s="2">
        <f>+C24-15018.5</f>
        <v>2535.0479999999989</v>
      </c>
    </row>
    <row r="25" spans="1:21" x14ac:dyDescent="0.2">
      <c r="A25" s="56" t="s">
        <v>86</v>
      </c>
      <c r="B25" s="57" t="s">
        <v>43</v>
      </c>
      <c r="C25" s="56">
        <v>17570.575000000001</v>
      </c>
      <c r="D25" s="56" t="s">
        <v>74</v>
      </c>
      <c r="E25">
        <f>+(C25-C$7)/C$8</f>
        <v>18.002378308449554</v>
      </c>
      <c r="F25">
        <f>ROUND(2*E25,0)/2</f>
        <v>18</v>
      </c>
      <c r="G25">
        <f>+C25-(C$7+F25*C$8)</f>
        <v>9.00520000141114E-3</v>
      </c>
      <c r="I25">
        <f>+G25</f>
        <v>9.00520000141114E-3</v>
      </c>
      <c r="O25">
        <f ca="1">+C$11+C$12*$F25</f>
        <v>-1.2110146092928443E-2</v>
      </c>
      <c r="Q25" s="2">
        <f>+C25-15018.5</f>
        <v>2552.0750000000007</v>
      </c>
    </row>
    <row r="26" spans="1:21" x14ac:dyDescent="0.2">
      <c r="A26" s="56" t="s">
        <v>86</v>
      </c>
      <c r="B26" s="57" t="s">
        <v>43</v>
      </c>
      <c r="C26" s="56">
        <v>17615.965</v>
      </c>
      <c r="D26" s="56" t="s">
        <v>74</v>
      </c>
      <c r="E26">
        <f>+(C26-C$7)/C$8</f>
        <v>29.990054375295788</v>
      </c>
      <c r="F26">
        <f>ROUND(2*E26,0)/2</f>
        <v>30</v>
      </c>
      <c r="G26">
        <f>+C26-(C$7+F26*C$8)</f>
        <v>-3.7658000001101755E-2</v>
      </c>
      <c r="I26">
        <f>+G26</f>
        <v>-3.7658000001101755E-2</v>
      </c>
      <c r="O26">
        <f ca="1">+C$11+C$12*$F26</f>
        <v>-1.2030038411522502E-2</v>
      </c>
      <c r="Q26" s="2">
        <f>+C26-15018.5</f>
        <v>2597.4650000000001</v>
      </c>
    </row>
    <row r="27" spans="1:21" x14ac:dyDescent="0.2">
      <c r="A27" s="56" t="s">
        <v>86</v>
      </c>
      <c r="B27" s="57" t="s">
        <v>39</v>
      </c>
      <c r="C27" s="56">
        <v>17689.859</v>
      </c>
      <c r="D27" s="56" t="s">
        <v>74</v>
      </c>
      <c r="E27">
        <f>+(C27-C$7)/C$8</f>
        <v>49.505748036532836</v>
      </c>
      <c r="F27">
        <f>ROUND(2*E27,0)/2</f>
        <v>49.5</v>
      </c>
      <c r="G27">
        <f>+C27-(C$7+F27*C$8)</f>
        <v>2.1764299999631476E-2</v>
      </c>
      <c r="I27">
        <f>+G27</f>
        <v>2.1764299999631476E-2</v>
      </c>
      <c r="O27">
        <f ca="1">+C$11+C$12*$F27</f>
        <v>-1.1899863429237845E-2</v>
      </c>
      <c r="Q27" s="2">
        <f>+C27-15018.5</f>
        <v>2671.3590000000004</v>
      </c>
    </row>
    <row r="28" spans="1:21" x14ac:dyDescent="0.2">
      <c r="A28" s="56" t="s">
        <v>86</v>
      </c>
      <c r="B28" s="57" t="s">
        <v>43</v>
      </c>
      <c r="C28" s="56">
        <v>18043.857</v>
      </c>
      <c r="D28" s="56" t="s">
        <v>74</v>
      </c>
      <c r="E28">
        <f>+(C28-C$7)/C$8</f>
        <v>142.99800078629011</v>
      </c>
      <c r="F28">
        <f>ROUND(2*E28,0)/2</f>
        <v>143</v>
      </c>
      <c r="G28">
        <f>+C28-(C$7+F28*C$8)</f>
        <v>-7.5698000000556931E-3</v>
      </c>
      <c r="I28">
        <f>+G28</f>
        <v>-7.5698000000556931E-3</v>
      </c>
      <c r="O28">
        <f ca="1">+C$11+C$12*$F28</f>
        <v>-1.1275691078283211E-2</v>
      </c>
      <c r="Q28" s="2">
        <f>+C28-15018.5</f>
        <v>3025.357</v>
      </c>
    </row>
    <row r="29" spans="1:21" x14ac:dyDescent="0.2">
      <c r="A29" s="56" t="s">
        <v>86</v>
      </c>
      <c r="B29" s="57" t="s">
        <v>39</v>
      </c>
      <c r="C29" s="56">
        <v>18132.829000000002</v>
      </c>
      <c r="D29" s="56" t="s">
        <v>74</v>
      </c>
      <c r="E29">
        <f>+(C29-C$7)/C$8</f>
        <v>166.49585306695712</v>
      </c>
      <c r="F29">
        <f>ROUND(2*E29,0)/2</f>
        <v>166.5</v>
      </c>
      <c r="G29">
        <f>+C29-(C$7+F29*C$8)</f>
        <v>-1.5701899999839952E-2</v>
      </c>
      <c r="I29">
        <f>+G29</f>
        <v>-1.5701899999839952E-2</v>
      </c>
      <c r="O29">
        <f ca="1">+C$11+C$12*$F29</f>
        <v>-1.1118813535529907E-2</v>
      </c>
      <c r="Q29" s="2">
        <f>+C29-15018.5</f>
        <v>3114.3290000000015</v>
      </c>
    </row>
    <row r="30" spans="1:21" x14ac:dyDescent="0.2">
      <c r="A30" s="56" t="s">
        <v>86</v>
      </c>
      <c r="B30" s="57" t="s">
        <v>39</v>
      </c>
      <c r="C30" s="56">
        <v>18136.603999999999</v>
      </c>
      <c r="D30" s="56" t="s">
        <v>74</v>
      </c>
      <c r="E30">
        <f>+(C30-C$7)/C$8</f>
        <v>167.49284529326951</v>
      </c>
      <c r="F30">
        <f>ROUND(2*E30,0)/2</f>
        <v>167.5</v>
      </c>
      <c r="G30">
        <f>+C30-(C$7+F30*C$8)</f>
        <v>-2.7090499999758322E-2</v>
      </c>
      <c r="I30">
        <f>+G30</f>
        <v>-2.7090499999758322E-2</v>
      </c>
      <c r="O30">
        <f ca="1">+C$11+C$12*$F30</f>
        <v>-1.1112137895412745E-2</v>
      </c>
      <c r="Q30" s="2">
        <f>+C30-15018.5</f>
        <v>3118.1039999999994</v>
      </c>
    </row>
    <row r="31" spans="1:21" x14ac:dyDescent="0.2">
      <c r="A31" s="56" t="s">
        <v>86</v>
      </c>
      <c r="B31" s="57" t="s">
        <v>43</v>
      </c>
      <c r="C31" s="56">
        <v>18153.651000000002</v>
      </c>
      <c r="D31" s="56" t="s">
        <v>74</v>
      </c>
      <c r="E31">
        <f>+(C31-C$7)/C$8</f>
        <v>171.99502449378852</v>
      </c>
      <c r="F31">
        <f>ROUND(2*E31,0)/2</f>
        <v>172</v>
      </c>
      <c r="G31">
        <f>+C31-(C$7+F31*C$8)</f>
        <v>-1.8839199998183176E-2</v>
      </c>
      <c r="I31">
        <f>+G31</f>
        <v>-1.8839199998183176E-2</v>
      </c>
      <c r="O31">
        <f ca="1">+C$11+C$12*$F31</f>
        <v>-1.1082097514885517E-2</v>
      </c>
      <c r="Q31" s="2">
        <f>+C31-15018.5</f>
        <v>3135.1510000000017</v>
      </c>
    </row>
    <row r="32" spans="1:21" x14ac:dyDescent="0.2">
      <c r="A32" s="56" t="s">
        <v>86</v>
      </c>
      <c r="B32" s="57" t="s">
        <v>39</v>
      </c>
      <c r="C32" s="56">
        <v>18507.674999999999</v>
      </c>
      <c r="D32" s="56" t="s">
        <v>74</v>
      </c>
      <c r="E32">
        <f>+(C32-C$7)/C$8</f>
        <v>265.49414394497154</v>
      </c>
      <c r="F32">
        <f>ROUND(2*E32,0)/2</f>
        <v>265.5</v>
      </c>
      <c r="G32">
        <f>+C32-(C$7+F32*C$8)</f>
        <v>-2.2173299999849405E-2</v>
      </c>
      <c r="I32">
        <f>+G32</f>
        <v>-2.2173299999849405E-2</v>
      </c>
      <c r="O32">
        <f ca="1">+C$11+C$12*$F32</f>
        <v>-1.0457925163930883E-2</v>
      </c>
      <c r="Q32" s="2">
        <f>+C32-15018.5</f>
        <v>3489.1749999999993</v>
      </c>
    </row>
    <row r="33" spans="1:34" x14ac:dyDescent="0.2">
      <c r="A33" s="56" t="s">
        <v>86</v>
      </c>
      <c r="B33" s="57" t="s">
        <v>39</v>
      </c>
      <c r="C33" s="56">
        <v>18931.769</v>
      </c>
      <c r="D33" s="56" t="s">
        <v>74</v>
      </c>
      <c r="E33">
        <f>+(C33-C$7)/C$8</f>
        <v>377.49902373992995</v>
      </c>
      <c r="F33">
        <f>ROUND(2*E33,0)/2</f>
        <v>377.5</v>
      </c>
      <c r="G33">
        <f>+C33-(C$7+F33*C$8)</f>
        <v>-3.6964999999327119E-3</v>
      </c>
      <c r="I33">
        <f>+G33</f>
        <v>-3.6964999999327119E-3</v>
      </c>
      <c r="O33">
        <f ca="1">+C$11+C$12*$F33</f>
        <v>-9.7102534708087551E-3</v>
      </c>
      <c r="Q33" s="2">
        <f>+C33-15018.5</f>
        <v>3913.2690000000002</v>
      </c>
    </row>
    <row r="34" spans="1:34" x14ac:dyDescent="0.2">
      <c r="A34" s="56" t="s">
        <v>86</v>
      </c>
      <c r="B34" s="57" t="s">
        <v>39</v>
      </c>
      <c r="C34" s="56">
        <v>18946.915000000001</v>
      </c>
      <c r="D34" s="56" t="s">
        <v>74</v>
      </c>
      <c r="E34">
        <f>+(C34-C$7)/C$8</f>
        <v>381.49914142462842</v>
      </c>
      <c r="F34">
        <f>ROUND(2*E34,0)/2</f>
        <v>381.5</v>
      </c>
      <c r="G34">
        <f>+C34-(C$7+F34*C$8)</f>
        <v>-3.2508999975107145E-3</v>
      </c>
      <c r="I34">
        <f>+G34</f>
        <v>-3.2508999975107145E-3</v>
      </c>
      <c r="O34">
        <f ca="1">+C$11+C$12*$F34</f>
        <v>-9.683550910340108E-3</v>
      </c>
      <c r="Q34" s="2">
        <f>+C34-15018.5</f>
        <v>3928.4150000000009</v>
      </c>
    </row>
    <row r="35" spans="1:34" x14ac:dyDescent="0.2">
      <c r="A35" s="56" t="s">
        <v>86</v>
      </c>
      <c r="B35" s="57" t="s">
        <v>43</v>
      </c>
      <c r="C35" s="56">
        <v>18952.580999999998</v>
      </c>
      <c r="D35" s="56" t="s">
        <v>74</v>
      </c>
      <c r="E35">
        <f>+(C35-C$7)/C$8</f>
        <v>382.99555412775072</v>
      </c>
      <c r="F35">
        <f>ROUND(2*E35,0)/2</f>
        <v>383</v>
      </c>
      <c r="G35">
        <f>+C35-(C$7+F35*C$8)</f>
        <v>-1.6833800000313204E-2</v>
      </c>
      <c r="I35">
        <f>+G35</f>
        <v>-1.6833800000313204E-2</v>
      </c>
      <c r="O35">
        <f ca="1">+C$11+C$12*$F35</f>
        <v>-9.6735374501643653E-3</v>
      </c>
      <c r="Q35" s="2">
        <f>+C35-15018.5</f>
        <v>3934.0809999999983</v>
      </c>
    </row>
    <row r="36" spans="1:34" x14ac:dyDescent="0.2">
      <c r="A36" s="56" t="s">
        <v>86</v>
      </c>
      <c r="B36" s="57" t="s">
        <v>43</v>
      </c>
      <c r="C36" s="56">
        <v>18967.723999999998</v>
      </c>
      <c r="D36" s="56" t="s">
        <v>74</v>
      </c>
      <c r="E36">
        <f>+(C36-C$7)/C$8</f>
        <v>386.99487950074598</v>
      </c>
      <c r="F36">
        <f>ROUND(2*E36,0)/2</f>
        <v>387</v>
      </c>
      <c r="G36">
        <f>+C36-(C$7+F36*C$8)</f>
        <v>-1.9388200002140366E-2</v>
      </c>
      <c r="I36">
        <f>+G36</f>
        <v>-1.9388200002140366E-2</v>
      </c>
      <c r="O36">
        <f ca="1">+C$11+C$12*$F36</f>
        <v>-9.6468348896957164E-3</v>
      </c>
      <c r="Q36" s="2">
        <f>+C36-15018.5</f>
        <v>3949.2239999999983</v>
      </c>
    </row>
    <row r="37" spans="1:34" x14ac:dyDescent="0.2">
      <c r="A37" s="56" t="s">
        <v>130</v>
      </c>
      <c r="B37" s="57" t="s">
        <v>43</v>
      </c>
      <c r="C37" s="56">
        <v>24594.31</v>
      </c>
      <c r="D37" s="56" t="s">
        <v>74</v>
      </c>
      <c r="E37">
        <f>+(C37-C$7)/C$8</f>
        <v>1872.9981914693069</v>
      </c>
      <c r="F37">
        <f>ROUND(2*E37,0)/2</f>
        <v>1873</v>
      </c>
      <c r="G37">
        <f>+C37-(C$7+F37*C$8)</f>
        <v>-6.8477999993774574E-3</v>
      </c>
      <c r="I37">
        <f>+G37</f>
        <v>-6.8477999993774574E-3</v>
      </c>
      <c r="O37">
        <f ca="1">+C$11+C$12*$F37</f>
        <v>2.7316632440680701E-4</v>
      </c>
      <c r="Q37" s="2">
        <f>+C37-15018.5</f>
        <v>9575.8100000000013</v>
      </c>
    </row>
    <row r="38" spans="1:34" x14ac:dyDescent="0.2">
      <c r="A38" s="56" t="s">
        <v>135</v>
      </c>
      <c r="B38" s="57" t="s">
        <v>39</v>
      </c>
      <c r="C38" s="56">
        <v>25508.73</v>
      </c>
      <c r="D38" s="56" t="s">
        <v>74</v>
      </c>
      <c r="E38">
        <f>+(C38-C$7)/C$8</f>
        <v>2114.5000806309208</v>
      </c>
      <c r="F38">
        <f>ROUND(2*E38,0)/2</f>
        <v>2114.5</v>
      </c>
      <c r="G38">
        <f>+C38-(C$7+F38*C$8)</f>
        <v>3.0530000003636815E-4</v>
      </c>
      <c r="I38">
        <f>+G38</f>
        <v>3.0530000003636815E-4</v>
      </c>
      <c r="O38">
        <f ca="1">+C$11+C$12*$F38</f>
        <v>1.8853334127013968E-3</v>
      </c>
      <c r="Q38" s="2">
        <f>+C38-15018.5</f>
        <v>10490.23</v>
      </c>
    </row>
    <row r="39" spans="1:34" x14ac:dyDescent="0.2">
      <c r="A39" s="56" t="s">
        <v>137</v>
      </c>
      <c r="B39" s="57" t="s">
        <v>39</v>
      </c>
      <c r="C39" s="56">
        <v>25508.73</v>
      </c>
      <c r="D39" s="56" t="s">
        <v>74</v>
      </c>
      <c r="E39">
        <f>+(C39-C$7)/C$8</f>
        <v>2114.5000806309208</v>
      </c>
      <c r="F39">
        <f>ROUND(2*E39,0)/2</f>
        <v>2114.5</v>
      </c>
      <c r="G39">
        <f>+C39-(C$7+F39*C$8)</f>
        <v>3.0530000003636815E-4</v>
      </c>
      <c r="I39">
        <f>+G39</f>
        <v>3.0530000003636815E-4</v>
      </c>
      <c r="O39">
        <f ca="1">+C$11+C$12*$F39</f>
        <v>1.8853334127013968E-3</v>
      </c>
      <c r="Q39" s="2">
        <f>+C39-15018.5</f>
        <v>10490.23</v>
      </c>
    </row>
    <row r="40" spans="1:34" x14ac:dyDescent="0.2">
      <c r="A40" s="56" t="s">
        <v>141</v>
      </c>
      <c r="B40" s="57" t="s">
        <v>43</v>
      </c>
      <c r="C40" s="56">
        <v>25620.43</v>
      </c>
      <c r="D40" s="56" t="s">
        <v>74</v>
      </c>
      <c r="E40">
        <f>+(C40-C$7)/C$8</f>
        <v>2144.000486373744</v>
      </c>
      <c r="F40">
        <f>ROUND(2*E40,0)/2</f>
        <v>2144</v>
      </c>
      <c r="G40">
        <f>+C40-(C$7+F40*C$8)</f>
        <v>1.8416000020806678E-3</v>
      </c>
      <c r="I40">
        <f>+G40</f>
        <v>1.8416000020806678E-3</v>
      </c>
      <c r="O40">
        <f ca="1">+C$11+C$12*$F40</f>
        <v>2.0822647961576714E-3</v>
      </c>
      <c r="Q40" s="2">
        <f>+C40-15018.5</f>
        <v>10601.93</v>
      </c>
    </row>
    <row r="41" spans="1:34" x14ac:dyDescent="0.2">
      <c r="A41" s="56" t="s">
        <v>135</v>
      </c>
      <c r="B41" s="57" t="s">
        <v>43</v>
      </c>
      <c r="C41" s="56">
        <v>27070.615000000002</v>
      </c>
      <c r="D41" s="56" t="s">
        <v>74</v>
      </c>
      <c r="E41">
        <f>+(C41-C$7)/C$8</f>
        <v>2527.000002060011</v>
      </c>
      <c r="F41">
        <f>ROUND(2*E41,0)/2</f>
        <v>2527</v>
      </c>
      <c r="G41">
        <f>+C41-(C$7+F41*C$8)</f>
        <v>7.800001185387373E-6</v>
      </c>
      <c r="I41">
        <f>+G41</f>
        <v>7.800001185387373E-6</v>
      </c>
      <c r="O41">
        <f ca="1">+C$11+C$12*$F41</f>
        <v>4.639034961030665E-3</v>
      </c>
      <c r="Q41" s="2">
        <f>+C41-15018.5</f>
        <v>12052.115000000002</v>
      </c>
    </row>
    <row r="42" spans="1:34" x14ac:dyDescent="0.2">
      <c r="A42" s="56" t="s">
        <v>147</v>
      </c>
      <c r="B42" s="57" t="s">
        <v>43</v>
      </c>
      <c r="C42" s="56">
        <v>29766.507000000001</v>
      </c>
      <c r="D42" s="56" t="s">
        <v>74</v>
      </c>
      <c r="E42">
        <f>+(C42-C$7)/C$8</f>
        <v>3238.9955959618096</v>
      </c>
      <c r="F42">
        <f>ROUND(2*E42,0)/2</f>
        <v>3239</v>
      </c>
      <c r="G42">
        <f>+C42-(C$7+F42*C$8)</f>
        <v>-1.6675399998348439E-2</v>
      </c>
      <c r="I42">
        <f>+G42</f>
        <v>-1.6675399998348439E-2</v>
      </c>
      <c r="O42">
        <f ca="1">+C$11+C$12*$F42</f>
        <v>9.3920907244499086E-3</v>
      </c>
      <c r="Q42" s="2">
        <f>+C42-15018.5</f>
        <v>14748.007000000001</v>
      </c>
      <c r="AA42" t="s">
        <v>29</v>
      </c>
      <c r="AB42" t="s">
        <v>30</v>
      </c>
      <c r="AH42" t="s">
        <v>32</v>
      </c>
    </row>
    <row r="43" spans="1:34" x14ac:dyDescent="0.2">
      <c r="A43" s="56" t="s">
        <v>154</v>
      </c>
      <c r="B43" s="57" t="s">
        <v>43</v>
      </c>
      <c r="C43" s="56">
        <v>48804.523300000001</v>
      </c>
      <c r="D43" s="56" t="s">
        <v>74</v>
      </c>
      <c r="E43">
        <f>+(C43-C$7)/C$8</f>
        <v>8267.0099682848195</v>
      </c>
      <c r="F43">
        <f>ROUND(2*E43,0)/2</f>
        <v>8267</v>
      </c>
      <c r="G43">
        <f>+C43-(C$7+F43*C$8)</f>
        <v>3.77437999995891E-2</v>
      </c>
      <c r="J43">
        <f>+G43</f>
        <v>3.77437999995891E-2</v>
      </c>
      <c r="O43">
        <f ca="1">+C$11+C$12*$F43</f>
        <v>4.2957209233539739E-2</v>
      </c>
      <c r="Q43" s="2">
        <f>+C43-15018.5</f>
        <v>33786.023300000001</v>
      </c>
      <c r="AA43" t="s">
        <v>29</v>
      </c>
      <c r="AB43" t="s">
        <v>33</v>
      </c>
      <c r="AH43" t="s">
        <v>32</v>
      </c>
    </row>
    <row r="44" spans="1:34" x14ac:dyDescent="0.2">
      <c r="A44" t="s">
        <v>31</v>
      </c>
      <c r="B44" s="5"/>
      <c r="C44" s="16">
        <v>48804.523999999998</v>
      </c>
      <c r="D44" s="16"/>
      <c r="E44">
        <f>+(C44-C$7)/C$8</f>
        <v>8267.0101531575492</v>
      </c>
      <c r="F44">
        <f>ROUND(2*E44,0)/2</f>
        <v>8267</v>
      </c>
      <c r="G44">
        <f>+C44-(C$7+F44*C$8)</f>
        <v>3.8443799996457528E-2</v>
      </c>
      <c r="I44">
        <f>+G44</f>
        <v>3.8443799996457528E-2</v>
      </c>
      <c r="O44">
        <f ca="1">+C$11+C$12*$F44</f>
        <v>4.2957209233539739E-2</v>
      </c>
      <c r="Q44" s="2">
        <f>+C44-15018.5</f>
        <v>33786.023999999998</v>
      </c>
      <c r="AA44" t="s">
        <v>29</v>
      </c>
      <c r="AB44" t="s">
        <v>30</v>
      </c>
      <c r="AH44" t="s">
        <v>32</v>
      </c>
    </row>
    <row r="45" spans="1:34" x14ac:dyDescent="0.2">
      <c r="A45" t="s">
        <v>31</v>
      </c>
      <c r="B45" s="5"/>
      <c r="C45" s="16">
        <v>49107.4401</v>
      </c>
      <c r="D45" s="16"/>
      <c r="E45">
        <f>+(C45-C$7)/C$8</f>
        <v>8347.0114768463009</v>
      </c>
      <c r="F45">
        <f>ROUND(2*E45,0)/2</f>
        <v>8347</v>
      </c>
      <c r="G45">
        <f>+C45-(C$7+F45*C$8)</f>
        <v>4.345580000517657E-2</v>
      </c>
      <c r="J45">
        <f>+G45</f>
        <v>4.345580000517657E-2</v>
      </c>
      <c r="O45">
        <f ca="1">+C$11+C$12*$F45</f>
        <v>4.3491260442912689E-2</v>
      </c>
      <c r="Q45" s="2">
        <f>+C45-15018.5</f>
        <v>34088.9401</v>
      </c>
      <c r="AA45" t="s">
        <v>29</v>
      </c>
      <c r="AH45" t="s">
        <v>32</v>
      </c>
    </row>
    <row r="46" spans="1:34" x14ac:dyDescent="0.2">
      <c r="A46" t="s">
        <v>31</v>
      </c>
      <c r="B46" s="5"/>
      <c r="C46" s="16">
        <v>49107.440300000002</v>
      </c>
      <c r="D46" s="16"/>
      <c r="E46">
        <f>+(C46-C$7)/C$8</f>
        <v>8347.0115296670829</v>
      </c>
      <c r="F46">
        <f>ROUND(2*E46,0)/2</f>
        <v>8347</v>
      </c>
      <c r="G46">
        <f>+C46-(C$7+F46*C$8)</f>
        <v>4.3655800007400103E-2</v>
      </c>
      <c r="J46">
        <f>+G46</f>
        <v>4.3655800007400103E-2</v>
      </c>
      <c r="O46">
        <f ca="1">+C$11+C$12*$F46</f>
        <v>4.3491260442912689E-2</v>
      </c>
      <c r="Q46" s="2">
        <f>+C46-15018.5</f>
        <v>34088.940300000002</v>
      </c>
    </row>
    <row r="47" spans="1:34" x14ac:dyDescent="0.2">
      <c r="A47" t="s">
        <v>31</v>
      </c>
      <c r="B47" s="5" t="s">
        <v>39</v>
      </c>
      <c r="C47" s="16">
        <v>49124.4755</v>
      </c>
      <c r="D47" s="16"/>
      <c r="E47">
        <f>+(C47-C$7)/C$8</f>
        <v>8351.5105924415675</v>
      </c>
      <c r="F47">
        <f>ROUND(2*E47,0)/2</f>
        <v>8351.5</v>
      </c>
      <c r="G47">
        <f>+C47-(C$7+F47*C$8)</f>
        <v>4.0107100001478102E-2</v>
      </c>
      <c r="J47">
        <f>+G47</f>
        <v>4.0107100001478102E-2</v>
      </c>
      <c r="O47">
        <f ca="1">+C$11+C$12*$F47</f>
        <v>4.3521300823439919E-2</v>
      </c>
      <c r="Q47" s="2">
        <f>+C47-15018.5</f>
        <v>34105.9755</v>
      </c>
      <c r="AA47" t="s">
        <v>29</v>
      </c>
      <c r="AB47" t="s">
        <v>33</v>
      </c>
      <c r="AH47" t="s">
        <v>32</v>
      </c>
    </row>
    <row r="48" spans="1:34" x14ac:dyDescent="0.2">
      <c r="A48" t="s">
        <v>34</v>
      </c>
      <c r="B48" s="5" t="s">
        <v>39</v>
      </c>
      <c r="C48" s="16">
        <v>49639.427000000003</v>
      </c>
      <c r="D48" s="16"/>
      <c r="E48">
        <f>+(C48-C$7)/C$8</f>
        <v>8487.5112924225486</v>
      </c>
      <c r="F48">
        <f>ROUND(2*E48,0)/2</f>
        <v>8487.5</v>
      </c>
      <c r="G48">
        <f>+C48-(C$7+F48*C$8)</f>
        <v>4.2757499999424908E-2</v>
      </c>
      <c r="I48">
        <f>+G48</f>
        <v>4.2757499999424908E-2</v>
      </c>
      <c r="O48">
        <f ca="1">+C$11+C$12*$F48</f>
        <v>4.442918787937393E-2</v>
      </c>
      <c r="Q48" s="2">
        <f>+C48-15018.5</f>
        <v>34620.927000000003</v>
      </c>
      <c r="AA48" t="s">
        <v>29</v>
      </c>
      <c r="AB48" t="s">
        <v>30</v>
      </c>
      <c r="AH48" t="s">
        <v>32</v>
      </c>
    </row>
    <row r="49" spans="1:34" x14ac:dyDescent="0.2">
      <c r="A49" t="s">
        <v>40</v>
      </c>
      <c r="C49" s="16">
        <v>49639.427000000003</v>
      </c>
      <c r="D49" s="16">
        <v>3.0000000000000001E-3</v>
      </c>
      <c r="E49">
        <f>+(C49-C$7)/C$8</f>
        <v>8487.5112924225486</v>
      </c>
      <c r="F49">
        <f>ROUND(2*E49,0)/2</f>
        <v>8487.5</v>
      </c>
      <c r="G49">
        <f>+C49-(C$7+F49*C$8)</f>
        <v>4.2757499999424908E-2</v>
      </c>
      <c r="J49">
        <f>+G49</f>
        <v>4.2757499999424908E-2</v>
      </c>
      <c r="O49">
        <f ca="1">+C$11+C$12*$F49</f>
        <v>4.442918787937393E-2</v>
      </c>
      <c r="Q49" s="2">
        <f>+C49-15018.5</f>
        <v>34620.927000000003</v>
      </c>
      <c r="AA49" t="s">
        <v>35</v>
      </c>
      <c r="AC49">
        <v>17</v>
      </c>
      <c r="AE49" t="s">
        <v>36</v>
      </c>
      <c r="AF49" t="s">
        <v>37</v>
      </c>
      <c r="AH49" t="s">
        <v>30</v>
      </c>
    </row>
    <row r="50" spans="1:34" x14ac:dyDescent="0.2">
      <c r="A50" t="s">
        <v>34</v>
      </c>
      <c r="B50" s="5" t="s">
        <v>39</v>
      </c>
      <c r="C50" s="16">
        <v>49639.430999999997</v>
      </c>
      <c r="D50" s="16"/>
      <c r="E50">
        <f>+(C50-C$7)/C$8</f>
        <v>8487.5123488381505</v>
      </c>
      <c r="F50">
        <f>ROUND(2*E50,0)/2</f>
        <v>8487.5</v>
      </c>
      <c r="G50">
        <f>+C50-(C$7+F50*C$8)</f>
        <v>4.6757499992963858E-2</v>
      </c>
      <c r="I50">
        <f>+G50</f>
        <v>4.6757499992963858E-2</v>
      </c>
      <c r="O50">
        <f ca="1">+C$11+C$12*$F50</f>
        <v>4.442918787937393E-2</v>
      </c>
      <c r="Q50" s="2">
        <f>+C50-15018.5</f>
        <v>34620.930999999997</v>
      </c>
    </row>
    <row r="51" spans="1:34" x14ac:dyDescent="0.2">
      <c r="A51" t="s">
        <v>40</v>
      </c>
      <c r="C51" s="16">
        <v>49639.430999999997</v>
      </c>
      <c r="D51" s="16">
        <v>1E-3</v>
      </c>
      <c r="E51">
        <f>+(C51-C$7)/C$8</f>
        <v>8487.5123488381505</v>
      </c>
      <c r="F51">
        <f>ROUND(2*E51,0)/2</f>
        <v>8487.5</v>
      </c>
      <c r="G51">
        <f>+C51-(C$7+F51*C$8)</f>
        <v>4.6757499992963858E-2</v>
      </c>
      <c r="J51">
        <f>+G51</f>
        <v>4.6757499992963858E-2</v>
      </c>
      <c r="O51">
        <f ca="1">+C$11+C$12*$F51</f>
        <v>4.442918787937393E-2</v>
      </c>
      <c r="Q51" s="2">
        <f>+C51-15018.5</f>
        <v>34620.930999999997</v>
      </c>
    </row>
    <row r="52" spans="1:34" x14ac:dyDescent="0.2">
      <c r="A52" t="s">
        <v>38</v>
      </c>
      <c r="B52" s="5"/>
      <c r="C52" s="16">
        <v>50951.412300000004</v>
      </c>
      <c r="D52" s="16">
        <v>4.0000000000000002E-4</v>
      </c>
      <c r="E52">
        <f>+(C52-C$7)/C$8</f>
        <v>8834.0117282203955</v>
      </c>
      <c r="F52">
        <f>ROUND(2*E52,0)/2</f>
        <v>8834</v>
      </c>
      <c r="G52">
        <f>+C52-(C$7+F52*C$8)</f>
        <v>4.4407600005797576E-2</v>
      </c>
      <c r="J52">
        <f>+G52</f>
        <v>4.4407600005797576E-2</v>
      </c>
      <c r="O52">
        <f ca="1">+C$11+C$12*$F52</f>
        <v>4.6742297179970513E-2</v>
      </c>
      <c r="Q52" s="2">
        <f>+C52-15018.5</f>
        <v>35932.912300000004</v>
      </c>
    </row>
    <row r="53" spans="1:34" x14ac:dyDescent="0.2">
      <c r="A53" s="12" t="s">
        <v>42</v>
      </c>
      <c r="B53" s="13" t="s">
        <v>39</v>
      </c>
      <c r="C53" s="15">
        <v>52509.517899999999</v>
      </c>
      <c r="D53" s="15">
        <v>2.0000000000000001E-4</v>
      </c>
      <c r="E53">
        <f>+(C53-C$7)/C$8</f>
        <v>9245.5134953660054</v>
      </c>
      <c r="F53">
        <f>ROUND(2*E53,0)/2</f>
        <v>9245.5</v>
      </c>
      <c r="G53">
        <f>+C53-(C$7+F53*C$8)</f>
        <v>5.1098700001602992E-2</v>
      </c>
      <c r="K53">
        <f>+G53</f>
        <v>5.1098700001602992E-2</v>
      </c>
      <c r="O53">
        <f ca="1">+C$11+C$12*$F53</f>
        <v>4.9489323088182623E-2</v>
      </c>
      <c r="Q53" s="2">
        <f>+C53-15018.5</f>
        <v>37491.017899999999</v>
      </c>
    </row>
    <row r="54" spans="1:34" x14ac:dyDescent="0.2">
      <c r="A54" s="34" t="s">
        <v>42</v>
      </c>
      <c r="B54" s="35" t="s">
        <v>43</v>
      </c>
      <c r="C54" s="36">
        <v>52602.283380000001</v>
      </c>
      <c r="D54" s="36">
        <v>6.9999999999999994E-5</v>
      </c>
      <c r="E54" s="37">
        <f>+(C54-C$7)/C$8</f>
        <v>9270.0132205130776</v>
      </c>
      <c r="F54">
        <f>ROUND(2*E54,0)/2</f>
        <v>9270</v>
      </c>
      <c r="G54">
        <f>+C54-(C$7+F54*C$8)</f>
        <v>5.0058000000717584E-2</v>
      </c>
      <c r="K54">
        <f>+G54</f>
        <v>5.0058000000717584E-2</v>
      </c>
      <c r="O54">
        <f ca="1">+C$11+C$12*$F54</f>
        <v>4.9652876271053088E-2</v>
      </c>
      <c r="Q54" s="2">
        <f>+C54-15018.5</f>
        <v>37583.783380000001</v>
      </c>
    </row>
    <row r="55" spans="1:34" x14ac:dyDescent="0.2">
      <c r="A55" s="38" t="s">
        <v>46</v>
      </c>
      <c r="B55" s="39" t="s">
        <v>39</v>
      </c>
      <c r="C55" s="17">
        <v>53592.416599999997</v>
      </c>
      <c r="D55" s="17">
        <v>2.2000000000000001E-3</v>
      </c>
      <c r="E55" s="37">
        <f>+(C55-C$7)/C$8</f>
        <v>9531.5112664347234</v>
      </c>
      <c r="F55">
        <f>ROUND(2*E55,0)/2</f>
        <v>9531.5</v>
      </c>
      <c r="J55" s="14">
        <v>4.2659099999582395E-2</v>
      </c>
      <c r="O55">
        <f ca="1">+C$11+C$12*$F55</f>
        <v>5.1398556161690916E-2</v>
      </c>
      <c r="Q55" s="2">
        <f>+C55-15018.5</f>
        <v>38573.916599999997</v>
      </c>
    </row>
    <row r="56" spans="1:34" x14ac:dyDescent="0.2">
      <c r="A56" s="34" t="s">
        <v>57</v>
      </c>
      <c r="B56" s="40" t="s">
        <v>43</v>
      </c>
      <c r="C56" s="34">
        <v>54192.5694</v>
      </c>
      <c r="D56" s="34">
        <v>2.9999999999999997E-4</v>
      </c>
      <c r="E56" s="37">
        <f>+(C56-C$7)/C$8</f>
        <v>9690.013962116831</v>
      </c>
      <c r="F56">
        <f>ROUND(2*E56,0)/2</f>
        <v>9690</v>
      </c>
      <c r="G56">
        <f>+C56-(C$7+F56*C$8)</f>
        <v>5.2865999998175539E-2</v>
      </c>
      <c r="K56">
        <f>+G56</f>
        <v>5.2865999998175539E-2</v>
      </c>
      <c r="O56">
        <f ca="1">+C$11+C$12*$F56</f>
        <v>5.2456645120261068E-2</v>
      </c>
      <c r="Q56" s="2">
        <f>+C56-15018.5</f>
        <v>39174.0694</v>
      </c>
    </row>
    <row r="57" spans="1:34" x14ac:dyDescent="0.2">
      <c r="A57" s="17" t="s">
        <v>52</v>
      </c>
      <c r="B57" s="41"/>
      <c r="C57" s="17">
        <v>54196.3531</v>
      </c>
      <c r="D57" s="17">
        <v>1.2999999999999999E-3</v>
      </c>
      <c r="E57" s="37">
        <f>+(C57-C$7)/C$8</f>
        <v>9691.0132520470834</v>
      </c>
      <c r="F57">
        <f>ROUND(2*E57,0)/2</f>
        <v>9691</v>
      </c>
      <c r="G57">
        <f>+C57-(C$7+F57*C$8)</f>
        <v>5.0177400000393391E-2</v>
      </c>
      <c r="J57">
        <f>+G57</f>
        <v>5.0177400000393391E-2</v>
      </c>
      <c r="O57">
        <f ca="1">+C$11+C$12*$F57</f>
        <v>5.2463320760378233E-2</v>
      </c>
      <c r="Q57" s="2">
        <f>+C57-15018.5</f>
        <v>39177.8531</v>
      </c>
    </row>
    <row r="58" spans="1:34" x14ac:dyDescent="0.2">
      <c r="A58" s="17" t="s">
        <v>54</v>
      </c>
      <c r="B58" s="39" t="s">
        <v>43</v>
      </c>
      <c r="C58" s="17">
        <v>54601.501900000003</v>
      </c>
      <c r="D58" s="17">
        <v>2.0000000000000001E-4</v>
      </c>
      <c r="E58" s="37">
        <f>+(C58-C$7)/C$8</f>
        <v>9798.0146306166262</v>
      </c>
      <c r="F58">
        <f>ROUND(2*E58,0)/2</f>
        <v>9798</v>
      </c>
      <c r="G58">
        <f>+C58-(C$7+F58*C$8)</f>
        <v>5.5397200005245395E-2</v>
      </c>
      <c r="J58">
        <f>+G58</f>
        <v>5.5397200005245395E-2</v>
      </c>
      <c r="O58">
        <f ca="1">+C$11+C$12*$F58</f>
        <v>5.3177614252914555E-2</v>
      </c>
      <c r="Q58" s="2">
        <f>+C58-15018.5</f>
        <v>39583.001900000003</v>
      </c>
    </row>
    <row r="59" spans="1:34" x14ac:dyDescent="0.2">
      <c r="A59" s="59" t="s">
        <v>63</v>
      </c>
      <c r="B59" s="59"/>
      <c r="C59" s="61">
        <v>55381.498399999997</v>
      </c>
      <c r="D59" s="61">
        <v>4.5999999999999999E-3</v>
      </c>
      <c r="E59" s="37">
        <f>+(C59-C$7)/C$8</f>
        <v>10004.014749040813</v>
      </c>
      <c r="F59">
        <f>ROUND(2*E59,0)/2</f>
        <v>10004</v>
      </c>
      <c r="G59">
        <f>+C59-(C$7+F59*C$8)</f>
        <v>5.5845599999884143E-2</v>
      </c>
      <c r="J59">
        <f>+G59</f>
        <v>5.5845599999884143E-2</v>
      </c>
      <c r="O59">
        <f ca="1">+C$11+C$12*$F59</f>
        <v>5.4552796117049891E-2</v>
      </c>
      <c r="Q59" s="2">
        <f>+C59-15018.5</f>
        <v>40362.998399999997</v>
      </c>
    </row>
    <row r="60" spans="1:34" x14ac:dyDescent="0.2">
      <c r="A60" s="34" t="s">
        <v>58</v>
      </c>
      <c r="B60" s="40" t="s">
        <v>39</v>
      </c>
      <c r="C60" s="34">
        <v>55712.809300000001</v>
      </c>
      <c r="D60" s="34">
        <v>4.0000000000000002E-4</v>
      </c>
      <c r="E60" s="37">
        <f>+(C60-C$7)/C$8</f>
        <v>10091.515250177967</v>
      </c>
      <c r="F60">
        <f>ROUND(2*E60,0)/2</f>
        <v>10091.5</v>
      </c>
      <c r="G60">
        <f>+C60-(C$7+F60*C$8)</f>
        <v>5.7743099998333491E-2</v>
      </c>
      <c r="K60">
        <f>+G60</f>
        <v>5.7743099998333491E-2</v>
      </c>
      <c r="O60">
        <f ca="1">+C$11+C$12*$F60</f>
        <v>5.513691462730156E-2</v>
      </c>
      <c r="Q60" s="2">
        <f>+C60-15018.5</f>
        <v>40694.309300000001</v>
      </c>
    </row>
    <row r="61" spans="1:34" x14ac:dyDescent="0.2">
      <c r="A61" s="59" t="s">
        <v>61</v>
      </c>
      <c r="B61" s="60" t="s">
        <v>39</v>
      </c>
      <c r="C61" s="61">
        <v>55807.467400000001</v>
      </c>
      <c r="D61" s="61">
        <v>2.9999999999999997E-4</v>
      </c>
      <c r="E61" s="37">
        <f>+(C61-C$7)/C$8</f>
        <v>10116.514823650166</v>
      </c>
      <c r="F61">
        <f>ROUND(2*E61,0)/2</f>
        <v>10116.5</v>
      </c>
      <c r="G61">
        <f>+C61-(C$7+F61*C$8)</f>
        <v>5.6128100004571024E-2</v>
      </c>
      <c r="K61">
        <f>+G61</f>
        <v>5.6128100004571024E-2</v>
      </c>
      <c r="O61">
        <f ca="1">+C$11+C$12*$F61</f>
        <v>5.5303805630230608E-2</v>
      </c>
      <c r="Q61" s="2">
        <f>+C61-15018.5</f>
        <v>40788.967400000001</v>
      </c>
    </row>
    <row r="62" spans="1:34" x14ac:dyDescent="0.2">
      <c r="A62" s="59" t="s">
        <v>61</v>
      </c>
      <c r="B62" s="60" t="s">
        <v>39</v>
      </c>
      <c r="C62" s="61">
        <v>55807.467499999999</v>
      </c>
      <c r="D62" s="61">
        <v>2.9999999999999997E-4</v>
      </c>
      <c r="E62" s="37">
        <f>+(C62-C$7)/C$8</f>
        <v>10116.514850060556</v>
      </c>
      <c r="F62">
        <f>ROUND(2*E62,0)/2</f>
        <v>10116.5</v>
      </c>
      <c r="G62">
        <f>+C62-(C$7+F62*C$8)</f>
        <v>5.6228100002044812E-2</v>
      </c>
      <c r="K62">
        <f>+G62</f>
        <v>5.6228100002044812E-2</v>
      </c>
      <c r="O62">
        <f ca="1">+C$11+C$12*$F62</f>
        <v>5.5303805630230608E-2</v>
      </c>
      <c r="Q62" s="2">
        <f>+C62-15018.5</f>
        <v>40788.967499999999</v>
      </c>
    </row>
    <row r="63" spans="1:34" x14ac:dyDescent="0.2">
      <c r="A63" s="59" t="s">
        <v>61</v>
      </c>
      <c r="B63" s="60" t="s">
        <v>39</v>
      </c>
      <c r="C63" s="61">
        <v>55807.467900000003</v>
      </c>
      <c r="D63" s="61">
        <v>2.0000000000000001E-4</v>
      </c>
      <c r="E63" s="37">
        <f>+(C63-C$7)/C$8</f>
        <v>10116.514955702118</v>
      </c>
      <c r="F63">
        <f>ROUND(2*E63,0)/2</f>
        <v>10116.5</v>
      </c>
      <c r="G63">
        <f>+C63-(C$7+F63*C$8)</f>
        <v>5.6628100006491877E-2</v>
      </c>
      <c r="K63">
        <f>+G63</f>
        <v>5.6628100006491877E-2</v>
      </c>
      <c r="O63">
        <f ca="1">+C$11+C$12*$F63</f>
        <v>5.5303805630230608E-2</v>
      </c>
      <c r="Q63" s="2">
        <f>+C63-15018.5</f>
        <v>40788.967900000003</v>
      </c>
    </row>
    <row r="64" spans="1:34" x14ac:dyDescent="0.2">
      <c r="A64" s="34" t="s">
        <v>59</v>
      </c>
      <c r="B64" s="40" t="s">
        <v>43</v>
      </c>
      <c r="C64" s="34">
        <v>55862.372840000004</v>
      </c>
      <c r="D64" s="34">
        <v>4.4000000000000002E-4</v>
      </c>
      <c r="E64" s="37">
        <f>+(C64-C$7)/C$8</f>
        <v>10131.015564540841</v>
      </c>
      <c r="F64">
        <f>ROUND(2*E64,0)/2</f>
        <v>10131</v>
      </c>
      <c r="G64">
        <f>+C64-(C$7+F64*C$8)</f>
        <v>5.893340000329772E-2</v>
      </c>
      <c r="K64">
        <f>+G64</f>
        <v>5.893340000329772E-2</v>
      </c>
      <c r="O64">
        <f ca="1">+C$11+C$12*$F64</f>
        <v>5.5400602411929449E-2</v>
      </c>
      <c r="Q64" s="2">
        <f>+C64-15018.5</f>
        <v>40843.872840000004</v>
      </c>
    </row>
    <row r="65" spans="1:17" x14ac:dyDescent="0.2">
      <c r="A65" s="17" t="s">
        <v>60</v>
      </c>
      <c r="B65" s="39" t="s">
        <v>43</v>
      </c>
      <c r="C65" s="17">
        <v>56047.904999999999</v>
      </c>
      <c r="D65" s="17">
        <v>5.0000000000000001E-4</v>
      </c>
      <c r="E65" s="37">
        <f>+(C65-C$7)/C$8</f>
        <v>10180.015331759661</v>
      </c>
      <c r="F65">
        <f>ROUND(2*E65,0)/2</f>
        <v>10180</v>
      </c>
      <c r="G65">
        <f>+C65-(C$7+F65*C$8)</f>
        <v>5.8052000000316184E-2</v>
      </c>
      <c r="K65">
        <f>+G65</f>
        <v>5.8052000000316184E-2</v>
      </c>
      <c r="O65">
        <f ca="1">+C$11+C$12*$F65</f>
        <v>5.572770877767038E-2</v>
      </c>
      <c r="Q65" s="2">
        <f>+C65-15018.5</f>
        <v>41029.404999999999</v>
      </c>
    </row>
    <row r="66" spans="1:17" x14ac:dyDescent="0.2">
      <c r="A66" s="62" t="s">
        <v>64</v>
      </c>
      <c r="B66" s="63" t="s">
        <v>43</v>
      </c>
      <c r="C66" s="62">
        <v>56871.444900000002</v>
      </c>
      <c r="D66" s="62">
        <v>4.1999999999999997E-3</v>
      </c>
      <c r="E66" s="37">
        <f>+(C66-C$7)/C$8</f>
        <v>10397.515431987093</v>
      </c>
      <c r="F66">
        <f>ROUND(2*E66,0)/2</f>
        <v>10397.5</v>
      </c>
      <c r="G66">
        <f>+C66-(C$7+F66*C$8)</f>
        <v>5.8431500001461245E-2</v>
      </c>
      <c r="J66">
        <f>+G66</f>
        <v>5.8431500001461245E-2</v>
      </c>
      <c r="O66">
        <f ca="1">+C$11+C$12*$F66</f>
        <v>5.7179660503153089E-2</v>
      </c>
      <c r="Q66" s="2">
        <f>+C66-15018.5</f>
        <v>41852.944900000002</v>
      </c>
    </row>
    <row r="67" spans="1:17" x14ac:dyDescent="0.2">
      <c r="A67" s="64" t="s">
        <v>1</v>
      </c>
      <c r="B67" s="65" t="s">
        <v>43</v>
      </c>
      <c r="C67" s="66">
        <v>57136.493900000001</v>
      </c>
      <c r="D67" s="66">
        <v>7.7999999999999996E-3</v>
      </c>
      <c r="E67" s="37">
        <f>+(C67-C$7)/C$8</f>
        <v>10467.515906845907</v>
      </c>
      <c r="F67">
        <f>ROUND(2*E67,0)/2</f>
        <v>10467.5</v>
      </c>
      <c r="G67">
        <f>+C67-(C$7+F67*C$8)</f>
        <v>6.0229499998968095E-2</v>
      </c>
      <c r="K67">
        <f>+G67</f>
        <v>6.0229499998968095E-2</v>
      </c>
      <c r="O67">
        <f ca="1">+C$11+C$12*$F67</f>
        <v>5.7646955311354421E-2</v>
      </c>
      <c r="Q67" s="2">
        <f>+C67-15018.5</f>
        <v>42117.993900000001</v>
      </c>
    </row>
    <row r="68" spans="1:17" x14ac:dyDescent="0.2">
      <c r="A68" s="64" t="s">
        <v>1</v>
      </c>
      <c r="B68" s="65" t="s">
        <v>43</v>
      </c>
      <c r="C68" s="66">
        <v>57562.4643</v>
      </c>
      <c r="D68" s="66">
        <v>8.0000000000000004E-4</v>
      </c>
      <c r="E68" s="37">
        <f>+(C68-C$7)/C$8</f>
        <v>10580.016351200718</v>
      </c>
      <c r="F68">
        <f>ROUND(2*E68,0)/2</f>
        <v>10580</v>
      </c>
      <c r="G68">
        <f>+C68-(C$7+F68*C$8)</f>
        <v>6.1911999997391831E-2</v>
      </c>
      <c r="K68">
        <f>+G68</f>
        <v>6.1911999997391831E-2</v>
      </c>
      <c r="O68">
        <f ca="1">+C$11+C$12*$F68</f>
        <v>5.8397964824535124E-2</v>
      </c>
      <c r="Q68" s="2">
        <f>+C68-15018.5</f>
        <v>42543.9643</v>
      </c>
    </row>
    <row r="69" spans="1:17" x14ac:dyDescent="0.2">
      <c r="A69" s="67" t="s">
        <v>0</v>
      </c>
      <c r="B69" s="68" t="s">
        <v>43</v>
      </c>
      <c r="C69" s="68">
        <v>57899.451099999998</v>
      </c>
      <c r="D69" s="68">
        <v>1.1000000000000001E-3</v>
      </c>
      <c r="E69" s="37">
        <f>+(C69-C$7)/C$8</f>
        <v>10669.015879669614</v>
      </c>
      <c r="F69">
        <f>ROUND(2*E69,0)/2</f>
        <v>10669</v>
      </c>
      <c r="G69">
        <f>+C69-(C$7+F69*C$8)</f>
        <v>6.0126600001240149E-2</v>
      </c>
      <c r="K69">
        <f>+G69</f>
        <v>6.0126600001240149E-2</v>
      </c>
      <c r="O69">
        <f ca="1">+C$11+C$12*$F69</f>
        <v>5.8992096794962527E-2</v>
      </c>
      <c r="Q69" s="2">
        <f>+C69-15018.5</f>
        <v>42880.951099999998</v>
      </c>
    </row>
    <row r="70" spans="1:17" x14ac:dyDescent="0.2">
      <c r="B70" s="5"/>
    </row>
    <row r="71" spans="1:17" x14ac:dyDescent="0.2">
      <c r="B71" s="5"/>
    </row>
    <row r="72" spans="1:17" x14ac:dyDescent="0.2">
      <c r="B72" s="5"/>
    </row>
    <row r="73" spans="1:17" x14ac:dyDescent="0.2">
      <c r="B73" s="5"/>
    </row>
    <row r="74" spans="1:17" x14ac:dyDescent="0.2">
      <c r="B74" s="5"/>
    </row>
    <row r="75" spans="1:17" x14ac:dyDescent="0.2">
      <c r="B75" s="5"/>
    </row>
    <row r="76" spans="1:17" x14ac:dyDescent="0.2">
      <c r="B76" s="5"/>
    </row>
    <row r="77" spans="1:17" x14ac:dyDescent="0.2">
      <c r="B77" s="5"/>
    </row>
    <row r="78" spans="1:17" x14ac:dyDescent="0.2">
      <c r="B78" s="5"/>
    </row>
    <row r="79" spans="1:17" x14ac:dyDescent="0.2">
      <c r="B79" s="5"/>
    </row>
    <row r="80" spans="1:17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</sheetData>
  <sortState xmlns:xlrd2="http://schemas.microsoft.com/office/spreadsheetml/2017/richdata2" ref="A21:Q74">
    <sortCondition ref="C21:C74"/>
  </sortState>
  <phoneticPr fontId="8" type="noConversion"/>
  <hyperlinks>
    <hyperlink ref="H661" r:id="rId1" display="http://vsolj.cetus-net.org/bulletin.html" xr:uid="{00000000-0004-0000-0000-000000000000}"/>
    <hyperlink ref="H64507" r:id="rId2" display="http://vsolj.cetus-net.org/bulletin.html" xr:uid="{00000000-0004-0000-0000-000001000000}"/>
    <hyperlink ref="H64500" r:id="rId3" display="https://www.aavso.org/ejaavso" xr:uid="{00000000-0004-0000-0000-000002000000}"/>
    <hyperlink ref="AP651" r:id="rId4" display="http://cdsbib.u-strasbg.fr/cgi-bin/cdsbib?1990RMxAA..21..381G" xr:uid="{00000000-0004-0000-0000-000003000000}"/>
    <hyperlink ref="AP655" r:id="rId5" display="http://cdsbib.u-strasbg.fr/cgi-bin/cdsbib?1990RMxAA..21..381G" xr:uid="{00000000-0004-0000-0000-000004000000}"/>
    <hyperlink ref="AP654" r:id="rId6" display="http://cdsbib.u-strasbg.fr/cgi-bin/cdsbib?1990RMxAA..21..381G" xr:uid="{00000000-0004-0000-0000-000005000000}"/>
    <hyperlink ref="AP635" r:id="rId7" display="http://cdsbib.u-strasbg.fr/cgi-bin/cdsbib?1990RMxAA..21..381G" xr:uid="{00000000-0004-0000-0000-000006000000}"/>
    <hyperlink ref="I64507" r:id="rId8" display="http://vsolj.cetus-net.org/bulletin.html" xr:uid="{00000000-0004-0000-0000-000007000000}"/>
    <hyperlink ref="AQ791" r:id="rId9" display="http://cdsbib.u-strasbg.fr/cgi-bin/cdsbib?1990RMxAA..21..381G" xr:uid="{00000000-0004-0000-0000-000008000000}"/>
    <hyperlink ref="AQ55557" r:id="rId10" display="http://cdsbib.u-strasbg.fr/cgi-bin/cdsbib?1990RMxAA..21..381G" xr:uid="{00000000-0004-0000-0000-000009000000}"/>
    <hyperlink ref="AQ792" r:id="rId11" display="http://cdsbib.u-strasbg.fr/cgi-bin/cdsbib?1990RMxAA..21..381G" xr:uid="{00000000-0004-0000-0000-00000A000000}"/>
    <hyperlink ref="H64504" r:id="rId12" display="https://www.aavso.org/ejaavso" xr:uid="{00000000-0004-0000-0000-00000B000000}"/>
    <hyperlink ref="H1677" r:id="rId13" display="http://vsolj.cetus-net.org/bulletin.html" xr:uid="{00000000-0004-0000-0000-00000C000000}"/>
    <hyperlink ref="AP2921" r:id="rId14" display="http://cdsbib.u-strasbg.fr/cgi-bin/cdsbib?1990RMxAA..21..381G" xr:uid="{00000000-0004-0000-0000-00000D000000}"/>
    <hyperlink ref="AP2924" r:id="rId15" display="http://cdsbib.u-strasbg.fr/cgi-bin/cdsbib?1990RMxAA..21..381G" xr:uid="{00000000-0004-0000-0000-00000E000000}"/>
    <hyperlink ref="AP2922" r:id="rId16" display="http://cdsbib.u-strasbg.fr/cgi-bin/cdsbib?1990RMxAA..21..381G" xr:uid="{00000000-0004-0000-0000-00000F000000}"/>
    <hyperlink ref="AP2906" r:id="rId17" display="http://cdsbib.u-strasbg.fr/cgi-bin/cdsbib?1990RMxAA..21..381G" xr:uid="{00000000-0004-0000-0000-000010000000}"/>
    <hyperlink ref="I1677" r:id="rId18" display="http://vsolj.cetus-net.org/bulletin.html" xr:uid="{00000000-0004-0000-0000-000011000000}"/>
    <hyperlink ref="AQ3135" r:id="rId19" display="http://cdsbib.u-strasbg.fr/cgi-bin/cdsbib?1990RMxAA..21..381G" xr:uid="{00000000-0004-0000-0000-000012000000}"/>
    <hyperlink ref="AQ65372" r:id="rId20" display="http://cdsbib.u-strasbg.fr/cgi-bin/cdsbib?1990RMxAA..21..381G" xr:uid="{00000000-0004-0000-0000-000013000000}"/>
    <hyperlink ref="AQ3139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9"/>
  <sheetViews>
    <sheetView topLeftCell="A6" workbookViewId="0">
      <selection activeCell="A31" sqref="A31:D53"/>
    </sheetView>
  </sheetViews>
  <sheetFormatPr defaultRowHeight="12.75" x14ac:dyDescent="0.2"/>
  <cols>
    <col min="1" max="1" width="19.7109375" style="43" customWidth="1"/>
    <col min="2" max="2" width="4.42578125" style="19" customWidth="1"/>
    <col min="3" max="3" width="12.7109375" style="43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43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2" t="s">
        <v>65</v>
      </c>
      <c r="I1" s="44" t="s">
        <v>66</v>
      </c>
      <c r="J1" s="45" t="s">
        <v>67</v>
      </c>
    </row>
    <row r="2" spans="1:16" x14ac:dyDescent="0.2">
      <c r="I2" s="46" t="s">
        <v>68</v>
      </c>
      <c r="J2" s="47" t="s">
        <v>69</v>
      </c>
    </row>
    <row r="3" spans="1:16" x14ac:dyDescent="0.2">
      <c r="A3" s="48" t="s">
        <v>70</v>
      </c>
      <c r="I3" s="46" t="s">
        <v>71</v>
      </c>
      <c r="J3" s="47" t="s">
        <v>72</v>
      </c>
    </row>
    <row r="4" spans="1:16" x14ac:dyDescent="0.2">
      <c r="I4" s="46" t="s">
        <v>73</v>
      </c>
      <c r="J4" s="47" t="s">
        <v>72</v>
      </c>
    </row>
    <row r="5" spans="1:16" ht="13.5" thickBot="1" x14ac:dyDescent="0.25">
      <c r="I5" s="49" t="s">
        <v>33</v>
      </c>
      <c r="J5" s="50" t="s">
        <v>74</v>
      </c>
    </row>
    <row r="10" spans="1:16" ht="13.5" thickBot="1" x14ac:dyDescent="0.25"/>
    <row r="11" spans="1:16" ht="12.75" customHeight="1" thickBot="1" x14ac:dyDescent="0.25">
      <c r="A11" s="43" t="str">
        <f t="shared" ref="A11:A53" si="0">P11</f>
        <v>BAVM 62 </v>
      </c>
      <c r="B11" s="5" t="str">
        <f t="shared" ref="B11:B53" si="1">IF(H11=INT(H11),"I","II")</f>
        <v>I</v>
      </c>
      <c r="C11" s="43">
        <f t="shared" ref="C11:C53" si="2">1*G11</f>
        <v>48804.523999999998</v>
      </c>
      <c r="D11" s="19" t="str">
        <f t="shared" ref="D11:D53" si="3">VLOOKUP(F11,I$1:J$5,2,FALSE)</f>
        <v>vis</v>
      </c>
      <c r="E11" s="51">
        <f>VLOOKUP(C11,Active!C$21:E$972,3,FALSE)</f>
        <v>8267.0101531575492</v>
      </c>
      <c r="F11" s="5" t="s">
        <v>33</v>
      </c>
      <c r="G11" s="19" t="str">
        <f t="shared" ref="G11:G53" si="4">MID(I11,3,LEN(I11)-3)</f>
        <v>48804.5240</v>
      </c>
      <c r="H11" s="43">
        <f t="shared" ref="H11:H53" si="5">1*K11</f>
        <v>8267</v>
      </c>
      <c r="I11" s="52" t="s">
        <v>155</v>
      </c>
      <c r="J11" s="53" t="s">
        <v>156</v>
      </c>
      <c r="K11" s="52">
        <v>8267</v>
      </c>
      <c r="L11" s="52" t="s">
        <v>157</v>
      </c>
      <c r="M11" s="53" t="s">
        <v>151</v>
      </c>
      <c r="N11" s="53" t="s">
        <v>158</v>
      </c>
      <c r="O11" s="54" t="s">
        <v>153</v>
      </c>
      <c r="P11" s="55" t="s">
        <v>154</v>
      </c>
    </row>
    <row r="12" spans="1:16" ht="12.75" customHeight="1" thickBot="1" x14ac:dyDescent="0.25">
      <c r="A12" s="43" t="str">
        <f t="shared" si="0"/>
        <v>BAVM 62 </v>
      </c>
      <c r="B12" s="5" t="str">
        <f t="shared" si="1"/>
        <v>I</v>
      </c>
      <c r="C12" s="43">
        <f t="shared" si="2"/>
        <v>49107.4401</v>
      </c>
      <c r="D12" s="19" t="str">
        <f t="shared" si="3"/>
        <v>vis</v>
      </c>
      <c r="E12" s="51">
        <f>VLOOKUP(C12,Active!C$21:E$972,3,FALSE)</f>
        <v>8347.0114768463009</v>
      </c>
      <c r="F12" s="5" t="s">
        <v>33</v>
      </c>
      <c r="G12" s="19" t="str">
        <f t="shared" si="4"/>
        <v>49107.4401</v>
      </c>
      <c r="H12" s="43">
        <f t="shared" si="5"/>
        <v>8347</v>
      </c>
      <c r="I12" s="52" t="s">
        <v>159</v>
      </c>
      <c r="J12" s="53" t="s">
        <v>160</v>
      </c>
      <c r="K12" s="52">
        <v>8347</v>
      </c>
      <c r="L12" s="52" t="s">
        <v>161</v>
      </c>
      <c r="M12" s="53" t="s">
        <v>151</v>
      </c>
      <c r="N12" s="53" t="s">
        <v>152</v>
      </c>
      <c r="O12" s="54" t="s">
        <v>153</v>
      </c>
      <c r="P12" s="55" t="s">
        <v>154</v>
      </c>
    </row>
    <row r="13" spans="1:16" ht="12.75" customHeight="1" thickBot="1" x14ac:dyDescent="0.25">
      <c r="A13" s="43" t="str">
        <f t="shared" si="0"/>
        <v>BAVM 62 </v>
      </c>
      <c r="B13" s="5" t="str">
        <f t="shared" si="1"/>
        <v>I</v>
      </c>
      <c r="C13" s="43">
        <f t="shared" si="2"/>
        <v>49107.440300000002</v>
      </c>
      <c r="D13" s="19" t="str">
        <f t="shared" si="3"/>
        <v>vis</v>
      </c>
      <c r="E13" s="51">
        <f>VLOOKUP(C13,Active!C$21:E$972,3,FALSE)</f>
        <v>8347.0115296670829</v>
      </c>
      <c r="F13" s="5" t="s">
        <v>33</v>
      </c>
      <c r="G13" s="19" t="str">
        <f t="shared" si="4"/>
        <v>49107.4403</v>
      </c>
      <c r="H13" s="43">
        <f t="shared" si="5"/>
        <v>8347</v>
      </c>
      <c r="I13" s="52" t="s">
        <v>162</v>
      </c>
      <c r="J13" s="53" t="s">
        <v>163</v>
      </c>
      <c r="K13" s="52">
        <v>8347</v>
      </c>
      <c r="L13" s="52" t="s">
        <v>164</v>
      </c>
      <c r="M13" s="53" t="s">
        <v>151</v>
      </c>
      <c r="N13" s="53" t="s">
        <v>158</v>
      </c>
      <c r="O13" s="54" t="s">
        <v>153</v>
      </c>
      <c r="P13" s="55" t="s">
        <v>154</v>
      </c>
    </row>
    <row r="14" spans="1:16" ht="12.75" customHeight="1" thickBot="1" x14ac:dyDescent="0.25">
      <c r="A14" s="43" t="str">
        <f t="shared" si="0"/>
        <v>BAVM 62 </v>
      </c>
      <c r="B14" s="5" t="str">
        <f t="shared" si="1"/>
        <v>II</v>
      </c>
      <c r="C14" s="43">
        <f t="shared" si="2"/>
        <v>49124.4755</v>
      </c>
      <c r="D14" s="19" t="str">
        <f t="shared" si="3"/>
        <v>vis</v>
      </c>
      <c r="E14" s="51">
        <f>VLOOKUP(C14,Active!C$21:E$972,3,FALSE)</f>
        <v>8351.5105924415675</v>
      </c>
      <c r="F14" s="5" t="s">
        <v>33</v>
      </c>
      <c r="G14" s="19" t="str">
        <f t="shared" si="4"/>
        <v>49124.4755</v>
      </c>
      <c r="H14" s="43">
        <f t="shared" si="5"/>
        <v>8351.5</v>
      </c>
      <c r="I14" s="52" t="s">
        <v>165</v>
      </c>
      <c r="J14" s="53" t="s">
        <v>166</v>
      </c>
      <c r="K14" s="52">
        <v>8351.5</v>
      </c>
      <c r="L14" s="52" t="s">
        <v>167</v>
      </c>
      <c r="M14" s="53" t="s">
        <v>151</v>
      </c>
      <c r="N14" s="53" t="s">
        <v>168</v>
      </c>
      <c r="O14" s="54" t="s">
        <v>153</v>
      </c>
      <c r="P14" s="55" t="s">
        <v>154</v>
      </c>
    </row>
    <row r="15" spans="1:16" ht="12.75" customHeight="1" thickBot="1" x14ac:dyDescent="0.25">
      <c r="A15" s="43" t="str">
        <f t="shared" si="0"/>
        <v>BAVM 80 </v>
      </c>
      <c r="B15" s="5" t="str">
        <f t="shared" si="1"/>
        <v>II</v>
      </c>
      <c r="C15" s="43">
        <f t="shared" si="2"/>
        <v>49639.427000000003</v>
      </c>
      <c r="D15" s="19" t="str">
        <f t="shared" si="3"/>
        <v>vis</v>
      </c>
      <c r="E15" s="51">
        <f>VLOOKUP(C15,Active!C$21:E$972,3,FALSE)</f>
        <v>8487.5112924225486</v>
      </c>
      <c r="F15" s="5" t="s">
        <v>33</v>
      </c>
      <c r="G15" s="19" t="str">
        <f t="shared" si="4"/>
        <v>49639.427</v>
      </c>
      <c r="H15" s="43">
        <f t="shared" si="5"/>
        <v>8487.5</v>
      </c>
      <c r="I15" s="52" t="s">
        <v>169</v>
      </c>
      <c r="J15" s="53" t="s">
        <v>170</v>
      </c>
      <c r="K15" s="52">
        <v>8487.5</v>
      </c>
      <c r="L15" s="52" t="s">
        <v>171</v>
      </c>
      <c r="M15" s="53" t="s">
        <v>151</v>
      </c>
      <c r="N15" s="53" t="s">
        <v>152</v>
      </c>
      <c r="O15" s="54" t="s">
        <v>153</v>
      </c>
      <c r="P15" s="55" t="s">
        <v>172</v>
      </c>
    </row>
    <row r="16" spans="1:16" ht="12.75" customHeight="1" thickBot="1" x14ac:dyDescent="0.25">
      <c r="A16" s="43" t="str">
        <f t="shared" si="0"/>
        <v>BAVM 80 </v>
      </c>
      <c r="B16" s="5" t="str">
        <f t="shared" si="1"/>
        <v>II</v>
      </c>
      <c r="C16" s="43">
        <f t="shared" si="2"/>
        <v>49639.430999999997</v>
      </c>
      <c r="D16" s="19" t="str">
        <f t="shared" si="3"/>
        <v>vis</v>
      </c>
      <c r="E16" s="51">
        <f>VLOOKUP(C16,Active!C$21:E$972,3,FALSE)</f>
        <v>8487.5123488381505</v>
      </c>
      <c r="F16" s="5" t="s">
        <v>33</v>
      </c>
      <c r="G16" s="19" t="str">
        <f t="shared" si="4"/>
        <v>49639.431</v>
      </c>
      <c r="H16" s="43">
        <f t="shared" si="5"/>
        <v>8487.5</v>
      </c>
      <c r="I16" s="52" t="s">
        <v>173</v>
      </c>
      <c r="J16" s="53" t="s">
        <v>174</v>
      </c>
      <c r="K16" s="52">
        <v>8487.5</v>
      </c>
      <c r="L16" s="52" t="s">
        <v>175</v>
      </c>
      <c r="M16" s="53" t="s">
        <v>151</v>
      </c>
      <c r="N16" s="53" t="s">
        <v>158</v>
      </c>
      <c r="O16" s="54" t="s">
        <v>153</v>
      </c>
      <c r="P16" s="55" t="s">
        <v>172</v>
      </c>
    </row>
    <row r="17" spans="1:16" ht="12.75" customHeight="1" thickBot="1" x14ac:dyDescent="0.25">
      <c r="A17" s="43" t="str">
        <f t="shared" si="0"/>
        <v> BBS 118 </v>
      </c>
      <c r="B17" s="5" t="str">
        <f t="shared" si="1"/>
        <v>I</v>
      </c>
      <c r="C17" s="43">
        <f t="shared" si="2"/>
        <v>50951.412300000004</v>
      </c>
      <c r="D17" s="19" t="str">
        <f t="shared" si="3"/>
        <v>vis</v>
      </c>
      <c r="E17" s="51">
        <f>VLOOKUP(C17,Active!C$21:E$972,3,FALSE)</f>
        <v>8834.0117282203955</v>
      </c>
      <c r="F17" s="5" t="s">
        <v>33</v>
      </c>
      <c r="G17" s="19" t="str">
        <f t="shared" si="4"/>
        <v>50951.4123</v>
      </c>
      <c r="H17" s="43">
        <f t="shared" si="5"/>
        <v>8834</v>
      </c>
      <c r="I17" s="52" t="s">
        <v>176</v>
      </c>
      <c r="J17" s="53" t="s">
        <v>177</v>
      </c>
      <c r="K17" s="52">
        <v>8834</v>
      </c>
      <c r="L17" s="52" t="s">
        <v>178</v>
      </c>
      <c r="M17" s="53" t="s">
        <v>151</v>
      </c>
      <c r="N17" s="53" t="s">
        <v>179</v>
      </c>
      <c r="O17" s="54" t="s">
        <v>180</v>
      </c>
      <c r="P17" s="54" t="s">
        <v>181</v>
      </c>
    </row>
    <row r="18" spans="1:16" ht="12.75" customHeight="1" thickBot="1" x14ac:dyDescent="0.25">
      <c r="A18" s="43" t="str">
        <f t="shared" si="0"/>
        <v>IBVS 5594 </v>
      </c>
      <c r="B18" s="5" t="str">
        <f t="shared" si="1"/>
        <v>II</v>
      </c>
      <c r="C18" s="43">
        <f t="shared" si="2"/>
        <v>52509.517899999999</v>
      </c>
      <c r="D18" s="19" t="str">
        <f t="shared" si="3"/>
        <v>vis</v>
      </c>
      <c r="E18" s="51">
        <f>VLOOKUP(C18,Active!C$21:E$972,3,FALSE)</f>
        <v>9245.5134953660054</v>
      </c>
      <c r="F18" s="5" t="s">
        <v>33</v>
      </c>
      <c r="G18" s="19" t="str">
        <f t="shared" si="4"/>
        <v>52509.5179</v>
      </c>
      <c r="H18" s="43">
        <f t="shared" si="5"/>
        <v>9245.5</v>
      </c>
      <c r="I18" s="52" t="s">
        <v>182</v>
      </c>
      <c r="J18" s="53" t="s">
        <v>183</v>
      </c>
      <c r="K18" s="52">
        <v>9245.5</v>
      </c>
      <c r="L18" s="52" t="s">
        <v>184</v>
      </c>
      <c r="M18" s="53" t="s">
        <v>151</v>
      </c>
      <c r="N18" s="53" t="s">
        <v>179</v>
      </c>
      <c r="O18" s="54" t="s">
        <v>185</v>
      </c>
      <c r="P18" s="55" t="s">
        <v>186</v>
      </c>
    </row>
    <row r="19" spans="1:16" ht="12.75" customHeight="1" thickBot="1" x14ac:dyDescent="0.25">
      <c r="A19" s="43" t="str">
        <f t="shared" si="0"/>
        <v>IBVS 5713 </v>
      </c>
      <c r="B19" s="5" t="str">
        <f t="shared" si="1"/>
        <v>II</v>
      </c>
      <c r="C19" s="43">
        <f t="shared" si="2"/>
        <v>53592.416599999997</v>
      </c>
      <c r="D19" s="19" t="str">
        <f t="shared" si="3"/>
        <v>vis</v>
      </c>
      <c r="E19" s="51">
        <f>VLOOKUP(C19,Active!C$21:E$972,3,FALSE)</f>
        <v>9531.5112664347234</v>
      </c>
      <c r="F19" s="5" t="s">
        <v>33</v>
      </c>
      <c r="G19" s="19" t="str">
        <f t="shared" si="4"/>
        <v>53592.4166</v>
      </c>
      <c r="H19" s="43">
        <f t="shared" si="5"/>
        <v>9531.5</v>
      </c>
      <c r="I19" s="52" t="s">
        <v>190</v>
      </c>
      <c r="J19" s="53" t="s">
        <v>191</v>
      </c>
      <c r="K19" s="52">
        <v>9531.5</v>
      </c>
      <c r="L19" s="52" t="s">
        <v>192</v>
      </c>
      <c r="M19" s="53" t="s">
        <v>151</v>
      </c>
      <c r="N19" s="53" t="s">
        <v>179</v>
      </c>
      <c r="O19" s="54" t="s">
        <v>180</v>
      </c>
      <c r="P19" s="55" t="s">
        <v>193</v>
      </c>
    </row>
    <row r="20" spans="1:16" ht="12.75" customHeight="1" thickBot="1" x14ac:dyDescent="0.25">
      <c r="A20" s="43" t="str">
        <f t="shared" si="0"/>
        <v>IBVS 5835 </v>
      </c>
      <c r="B20" s="5" t="str">
        <f t="shared" si="1"/>
        <v>I</v>
      </c>
      <c r="C20" s="43">
        <f t="shared" si="2"/>
        <v>54192.5694</v>
      </c>
      <c r="D20" s="19" t="str">
        <f t="shared" si="3"/>
        <v>vis</v>
      </c>
      <c r="E20" s="51">
        <f>VLOOKUP(C20,Active!C$21:E$972,3,FALSE)</f>
        <v>9690.013962116831</v>
      </c>
      <c r="F20" s="5" t="s">
        <v>33</v>
      </c>
      <c r="G20" s="19" t="str">
        <f t="shared" si="4"/>
        <v>54192.5694</v>
      </c>
      <c r="H20" s="43">
        <f t="shared" si="5"/>
        <v>9690</v>
      </c>
      <c r="I20" s="52" t="s">
        <v>194</v>
      </c>
      <c r="J20" s="53" t="s">
        <v>195</v>
      </c>
      <c r="K20" s="52">
        <v>9690</v>
      </c>
      <c r="L20" s="52" t="s">
        <v>196</v>
      </c>
      <c r="M20" s="53" t="s">
        <v>197</v>
      </c>
      <c r="N20" s="53" t="s">
        <v>168</v>
      </c>
      <c r="O20" s="54" t="s">
        <v>198</v>
      </c>
      <c r="P20" s="55" t="s">
        <v>199</v>
      </c>
    </row>
    <row r="21" spans="1:16" ht="12.75" customHeight="1" thickBot="1" x14ac:dyDescent="0.25">
      <c r="A21" s="43" t="str">
        <f t="shared" si="0"/>
        <v>BAVM 186 </v>
      </c>
      <c r="B21" s="5" t="str">
        <f t="shared" si="1"/>
        <v>I</v>
      </c>
      <c r="C21" s="43">
        <f t="shared" si="2"/>
        <v>54196.3531</v>
      </c>
      <c r="D21" s="19" t="str">
        <f t="shared" si="3"/>
        <v>vis</v>
      </c>
      <c r="E21" s="51">
        <f>VLOOKUP(C21,Active!C$21:E$972,3,FALSE)</f>
        <v>9691.0132520470834</v>
      </c>
      <c r="F21" s="5" t="s">
        <v>33</v>
      </c>
      <c r="G21" s="19" t="str">
        <f t="shared" si="4"/>
        <v>54196.3531</v>
      </c>
      <c r="H21" s="43">
        <f t="shared" si="5"/>
        <v>9691</v>
      </c>
      <c r="I21" s="52" t="s">
        <v>200</v>
      </c>
      <c r="J21" s="53" t="s">
        <v>201</v>
      </c>
      <c r="K21" s="52">
        <v>9691</v>
      </c>
      <c r="L21" s="52" t="s">
        <v>202</v>
      </c>
      <c r="M21" s="53" t="s">
        <v>197</v>
      </c>
      <c r="N21" s="53" t="s">
        <v>203</v>
      </c>
      <c r="O21" s="54" t="s">
        <v>153</v>
      </c>
      <c r="P21" s="55" t="s">
        <v>204</v>
      </c>
    </row>
    <row r="22" spans="1:16" ht="12.75" customHeight="1" thickBot="1" x14ac:dyDescent="0.25">
      <c r="A22" s="43" t="str">
        <f t="shared" si="0"/>
        <v>BAVM 201 </v>
      </c>
      <c r="B22" s="5" t="str">
        <f t="shared" si="1"/>
        <v>I</v>
      </c>
      <c r="C22" s="43">
        <f t="shared" si="2"/>
        <v>54601.501900000003</v>
      </c>
      <c r="D22" s="19" t="str">
        <f t="shared" si="3"/>
        <v>vis</v>
      </c>
      <c r="E22" s="51">
        <f>VLOOKUP(C22,Active!C$21:E$972,3,FALSE)</f>
        <v>9798.0146306166262</v>
      </c>
      <c r="F22" s="5" t="s">
        <v>33</v>
      </c>
      <c r="G22" s="19" t="str">
        <f t="shared" si="4"/>
        <v>54601.5019</v>
      </c>
      <c r="H22" s="43">
        <f t="shared" si="5"/>
        <v>9798</v>
      </c>
      <c r="I22" s="52" t="s">
        <v>205</v>
      </c>
      <c r="J22" s="53" t="s">
        <v>206</v>
      </c>
      <c r="K22" s="52" t="s">
        <v>207</v>
      </c>
      <c r="L22" s="52" t="s">
        <v>208</v>
      </c>
      <c r="M22" s="53" t="s">
        <v>197</v>
      </c>
      <c r="N22" s="53" t="s">
        <v>203</v>
      </c>
      <c r="O22" s="54" t="s">
        <v>153</v>
      </c>
      <c r="P22" s="55" t="s">
        <v>209</v>
      </c>
    </row>
    <row r="23" spans="1:16" ht="12.75" customHeight="1" thickBot="1" x14ac:dyDescent="0.25">
      <c r="A23" s="43" t="str">
        <f t="shared" si="0"/>
        <v>BAVM 215 </v>
      </c>
      <c r="B23" s="5" t="str">
        <f t="shared" si="1"/>
        <v>I</v>
      </c>
      <c r="C23" s="43">
        <f t="shared" si="2"/>
        <v>55381.498399999997</v>
      </c>
      <c r="D23" s="19" t="str">
        <f t="shared" si="3"/>
        <v>vis</v>
      </c>
      <c r="E23" s="51">
        <f>VLOOKUP(C23,Active!C$21:E$972,3,FALSE)</f>
        <v>10004.014749040813</v>
      </c>
      <c r="F23" s="5" t="s">
        <v>33</v>
      </c>
      <c r="G23" s="19" t="str">
        <f t="shared" si="4"/>
        <v>55381.4984</v>
      </c>
      <c r="H23" s="43">
        <f t="shared" si="5"/>
        <v>10004</v>
      </c>
      <c r="I23" s="52" t="s">
        <v>210</v>
      </c>
      <c r="J23" s="53" t="s">
        <v>211</v>
      </c>
      <c r="K23" s="52" t="s">
        <v>212</v>
      </c>
      <c r="L23" s="52" t="s">
        <v>213</v>
      </c>
      <c r="M23" s="53" t="s">
        <v>197</v>
      </c>
      <c r="N23" s="53" t="s">
        <v>203</v>
      </c>
      <c r="O23" s="54" t="s">
        <v>153</v>
      </c>
      <c r="P23" s="55" t="s">
        <v>214</v>
      </c>
    </row>
    <row r="24" spans="1:16" ht="12.75" customHeight="1" thickBot="1" x14ac:dyDescent="0.25">
      <c r="A24" s="43" t="str">
        <f t="shared" si="0"/>
        <v>IBVS 5992 </v>
      </c>
      <c r="B24" s="5" t="str">
        <f t="shared" si="1"/>
        <v>II</v>
      </c>
      <c r="C24" s="43">
        <f t="shared" si="2"/>
        <v>55712.809300000001</v>
      </c>
      <c r="D24" s="19" t="str">
        <f t="shared" si="3"/>
        <v>vis</v>
      </c>
      <c r="E24" s="51">
        <f>VLOOKUP(C24,Active!C$21:E$972,3,FALSE)</f>
        <v>10091.515250177967</v>
      </c>
      <c r="F24" s="5" t="s">
        <v>33</v>
      </c>
      <c r="G24" s="19" t="str">
        <f t="shared" si="4"/>
        <v>55712.8093</v>
      </c>
      <c r="H24" s="43">
        <f t="shared" si="5"/>
        <v>10091.5</v>
      </c>
      <c r="I24" s="52" t="s">
        <v>215</v>
      </c>
      <c r="J24" s="53" t="s">
        <v>216</v>
      </c>
      <c r="K24" s="52" t="s">
        <v>217</v>
      </c>
      <c r="L24" s="52" t="s">
        <v>218</v>
      </c>
      <c r="M24" s="53" t="s">
        <v>197</v>
      </c>
      <c r="N24" s="53" t="s">
        <v>33</v>
      </c>
      <c r="O24" s="54" t="s">
        <v>180</v>
      </c>
      <c r="P24" s="55" t="s">
        <v>219</v>
      </c>
    </row>
    <row r="25" spans="1:16" ht="12.75" customHeight="1" thickBot="1" x14ac:dyDescent="0.25">
      <c r="A25" s="43" t="str">
        <f t="shared" si="0"/>
        <v>OEJV 0160 </v>
      </c>
      <c r="B25" s="5" t="str">
        <f t="shared" si="1"/>
        <v>II</v>
      </c>
      <c r="C25" s="43">
        <f t="shared" si="2"/>
        <v>55807.467400000001</v>
      </c>
      <c r="D25" s="19" t="str">
        <f t="shared" si="3"/>
        <v>vis</v>
      </c>
      <c r="E25" s="51">
        <f>VLOOKUP(C25,Active!C$21:E$972,3,FALSE)</f>
        <v>10116.514823650166</v>
      </c>
      <c r="F25" s="5" t="s">
        <v>33</v>
      </c>
      <c r="G25" s="19" t="str">
        <f t="shared" si="4"/>
        <v>55807.4674</v>
      </c>
      <c r="H25" s="43">
        <f t="shared" si="5"/>
        <v>10116.5</v>
      </c>
      <c r="I25" s="52" t="s">
        <v>220</v>
      </c>
      <c r="J25" s="53" t="s">
        <v>221</v>
      </c>
      <c r="K25" s="52" t="s">
        <v>222</v>
      </c>
      <c r="L25" s="52" t="s">
        <v>223</v>
      </c>
      <c r="M25" s="53" t="s">
        <v>197</v>
      </c>
      <c r="N25" s="53" t="s">
        <v>37</v>
      </c>
      <c r="O25" s="54" t="s">
        <v>224</v>
      </c>
      <c r="P25" s="55" t="s">
        <v>225</v>
      </c>
    </row>
    <row r="26" spans="1:16" ht="12.75" customHeight="1" thickBot="1" x14ac:dyDescent="0.25">
      <c r="A26" s="43" t="str">
        <f t="shared" si="0"/>
        <v>OEJV 0160 </v>
      </c>
      <c r="B26" s="5" t="str">
        <f t="shared" si="1"/>
        <v>II</v>
      </c>
      <c r="C26" s="43">
        <f t="shared" si="2"/>
        <v>55807.467499999999</v>
      </c>
      <c r="D26" s="19" t="str">
        <f t="shared" si="3"/>
        <v>vis</v>
      </c>
      <c r="E26" s="51">
        <f>VLOOKUP(C26,Active!C$21:E$972,3,FALSE)</f>
        <v>10116.514850060556</v>
      </c>
      <c r="F26" s="5" t="s">
        <v>33</v>
      </c>
      <c r="G26" s="19" t="str">
        <f t="shared" si="4"/>
        <v>55807.4675</v>
      </c>
      <c r="H26" s="43">
        <f t="shared" si="5"/>
        <v>10116.5</v>
      </c>
      <c r="I26" s="52" t="s">
        <v>226</v>
      </c>
      <c r="J26" s="53" t="s">
        <v>221</v>
      </c>
      <c r="K26" s="52" t="s">
        <v>222</v>
      </c>
      <c r="L26" s="52" t="s">
        <v>227</v>
      </c>
      <c r="M26" s="53" t="s">
        <v>197</v>
      </c>
      <c r="N26" s="53" t="s">
        <v>43</v>
      </c>
      <c r="O26" s="54" t="s">
        <v>224</v>
      </c>
      <c r="P26" s="55" t="s">
        <v>225</v>
      </c>
    </row>
    <row r="27" spans="1:16" ht="12.75" customHeight="1" thickBot="1" x14ac:dyDescent="0.25">
      <c r="A27" s="43" t="str">
        <f t="shared" si="0"/>
        <v>OEJV 0160 </v>
      </c>
      <c r="B27" s="5" t="str">
        <f t="shared" si="1"/>
        <v>II</v>
      </c>
      <c r="C27" s="43">
        <f t="shared" si="2"/>
        <v>55807.467900000003</v>
      </c>
      <c r="D27" s="19" t="str">
        <f t="shared" si="3"/>
        <v>vis</v>
      </c>
      <c r="E27" s="51">
        <f>VLOOKUP(C27,Active!C$21:E$972,3,FALSE)</f>
        <v>10116.514955702118</v>
      </c>
      <c r="F27" s="5" t="s">
        <v>33</v>
      </c>
      <c r="G27" s="19" t="str">
        <f t="shared" si="4"/>
        <v>55807.4679</v>
      </c>
      <c r="H27" s="43">
        <f t="shared" si="5"/>
        <v>10116.5</v>
      </c>
      <c r="I27" s="52" t="s">
        <v>228</v>
      </c>
      <c r="J27" s="53" t="s">
        <v>221</v>
      </c>
      <c r="K27" s="52" t="s">
        <v>222</v>
      </c>
      <c r="L27" s="52" t="s">
        <v>229</v>
      </c>
      <c r="M27" s="53" t="s">
        <v>197</v>
      </c>
      <c r="N27" s="53" t="s">
        <v>33</v>
      </c>
      <c r="O27" s="54" t="s">
        <v>224</v>
      </c>
      <c r="P27" s="55" t="s">
        <v>225</v>
      </c>
    </row>
    <row r="28" spans="1:16" ht="12.75" customHeight="1" thickBot="1" x14ac:dyDescent="0.25">
      <c r="A28" s="43" t="str">
        <f t="shared" si="0"/>
        <v>IBVS 6007 </v>
      </c>
      <c r="B28" s="5" t="str">
        <f t="shared" si="1"/>
        <v>I</v>
      </c>
      <c r="C28" s="43">
        <f t="shared" si="2"/>
        <v>55862.372840000004</v>
      </c>
      <c r="D28" s="19" t="str">
        <f t="shared" si="3"/>
        <v>vis</v>
      </c>
      <c r="E28" s="51">
        <f>VLOOKUP(C28,Active!C$21:E$972,3,FALSE)</f>
        <v>10131.015564540841</v>
      </c>
      <c r="F28" s="5" t="s">
        <v>33</v>
      </c>
      <c r="G28" s="19" t="str">
        <f t="shared" si="4"/>
        <v>55862.37284</v>
      </c>
      <c r="H28" s="43">
        <f t="shared" si="5"/>
        <v>10131</v>
      </c>
      <c r="I28" s="52" t="s">
        <v>230</v>
      </c>
      <c r="J28" s="53" t="s">
        <v>231</v>
      </c>
      <c r="K28" s="52" t="s">
        <v>232</v>
      </c>
      <c r="L28" s="52" t="s">
        <v>233</v>
      </c>
      <c r="M28" s="53" t="s">
        <v>197</v>
      </c>
      <c r="N28" s="53" t="s">
        <v>37</v>
      </c>
      <c r="O28" s="54" t="s">
        <v>234</v>
      </c>
      <c r="P28" s="55" t="s">
        <v>235</v>
      </c>
    </row>
    <row r="29" spans="1:16" ht="12.75" customHeight="1" thickBot="1" x14ac:dyDescent="0.25">
      <c r="A29" s="43" t="str">
        <f t="shared" si="0"/>
        <v>IBVS 6029 </v>
      </c>
      <c r="B29" s="5" t="str">
        <f t="shared" si="1"/>
        <v>I</v>
      </c>
      <c r="C29" s="43">
        <f t="shared" si="2"/>
        <v>56047.904999999999</v>
      </c>
      <c r="D29" s="19" t="str">
        <f t="shared" si="3"/>
        <v>vis</v>
      </c>
      <c r="E29" s="51">
        <f>VLOOKUP(C29,Active!C$21:E$972,3,FALSE)</f>
        <v>10180.015331759661</v>
      </c>
      <c r="F29" s="5" t="s">
        <v>33</v>
      </c>
      <c r="G29" s="19" t="str">
        <f t="shared" si="4"/>
        <v>56047.9050</v>
      </c>
      <c r="H29" s="43">
        <f t="shared" si="5"/>
        <v>10180</v>
      </c>
      <c r="I29" s="52" t="s">
        <v>236</v>
      </c>
      <c r="J29" s="53" t="s">
        <v>237</v>
      </c>
      <c r="K29" s="52" t="s">
        <v>238</v>
      </c>
      <c r="L29" s="52" t="s">
        <v>239</v>
      </c>
      <c r="M29" s="53" t="s">
        <v>197</v>
      </c>
      <c r="N29" s="53" t="s">
        <v>33</v>
      </c>
      <c r="O29" s="54" t="s">
        <v>180</v>
      </c>
      <c r="P29" s="55" t="s">
        <v>240</v>
      </c>
    </row>
    <row r="30" spans="1:16" ht="12.75" customHeight="1" thickBot="1" x14ac:dyDescent="0.25">
      <c r="A30" s="43" t="str">
        <f t="shared" si="0"/>
        <v>BAVM 238 </v>
      </c>
      <c r="B30" s="5" t="str">
        <f t="shared" si="1"/>
        <v>II</v>
      </c>
      <c r="C30" s="43">
        <f t="shared" si="2"/>
        <v>56871.444900000002</v>
      </c>
      <c r="D30" s="19" t="str">
        <f t="shared" si="3"/>
        <v>vis</v>
      </c>
      <c r="E30" s="51">
        <f>VLOOKUP(C30,Active!C$21:E$972,3,FALSE)</f>
        <v>10397.515431987093</v>
      </c>
      <c r="F30" s="5" t="s">
        <v>33</v>
      </c>
      <c r="G30" s="19" t="str">
        <f t="shared" si="4"/>
        <v>56871.4449</v>
      </c>
      <c r="H30" s="43">
        <f t="shared" si="5"/>
        <v>10397.5</v>
      </c>
      <c r="I30" s="52" t="s">
        <v>241</v>
      </c>
      <c r="J30" s="53" t="s">
        <v>242</v>
      </c>
      <c r="K30" s="52" t="s">
        <v>243</v>
      </c>
      <c r="L30" s="52" t="s">
        <v>244</v>
      </c>
      <c r="M30" s="53" t="s">
        <v>197</v>
      </c>
      <c r="N30" s="53">
        <v>0</v>
      </c>
      <c r="O30" s="54" t="s">
        <v>153</v>
      </c>
      <c r="P30" s="55" t="s">
        <v>245</v>
      </c>
    </row>
    <row r="31" spans="1:16" ht="12.75" customHeight="1" thickBot="1" x14ac:dyDescent="0.25">
      <c r="A31" s="43" t="str">
        <f t="shared" si="0"/>
        <v> AN 4128 </v>
      </c>
      <c r="B31" s="5" t="str">
        <f t="shared" si="1"/>
        <v>I</v>
      </c>
      <c r="C31" s="43">
        <f t="shared" si="2"/>
        <v>17502.400000000001</v>
      </c>
      <c r="D31" s="19" t="str">
        <f t="shared" si="3"/>
        <v>vis</v>
      </c>
      <c r="E31" s="51">
        <f>VLOOKUP(C31,Active!C$21:E$972,3,FALSE)</f>
        <v>-2.9051429107416538E-3</v>
      </c>
      <c r="F31" s="5" t="s">
        <v>33</v>
      </c>
      <c r="G31" s="19" t="str">
        <f t="shared" si="4"/>
        <v>17502.40</v>
      </c>
      <c r="H31" s="43">
        <f t="shared" si="5"/>
        <v>0</v>
      </c>
      <c r="I31" s="52" t="s">
        <v>77</v>
      </c>
      <c r="J31" s="53" t="s">
        <v>78</v>
      </c>
      <c r="K31" s="52">
        <v>0</v>
      </c>
      <c r="L31" s="52" t="s">
        <v>79</v>
      </c>
      <c r="M31" s="53" t="s">
        <v>80</v>
      </c>
      <c r="N31" s="53"/>
      <c r="O31" s="54" t="s">
        <v>81</v>
      </c>
      <c r="P31" s="54" t="s">
        <v>82</v>
      </c>
    </row>
    <row r="32" spans="1:16" ht="12.75" customHeight="1" thickBot="1" x14ac:dyDescent="0.25">
      <c r="A32" s="43" t="str">
        <f t="shared" si="0"/>
        <v> LAWS 2.27 </v>
      </c>
      <c r="B32" s="5" t="str">
        <f t="shared" si="1"/>
        <v>I</v>
      </c>
      <c r="C32" s="43">
        <f t="shared" si="2"/>
        <v>17551.631000000001</v>
      </c>
      <c r="D32" s="19" t="str">
        <f t="shared" si="3"/>
        <v>vis</v>
      </c>
      <c r="E32" s="51">
        <f>VLOOKUP(C32,Active!C$21:E$972,3,FALSE)</f>
        <v>12.999194007715206</v>
      </c>
      <c r="F32" s="5" t="s">
        <v>33</v>
      </c>
      <c r="G32" s="19" t="str">
        <f t="shared" si="4"/>
        <v>17551.631</v>
      </c>
      <c r="H32" s="43">
        <f t="shared" si="5"/>
        <v>13</v>
      </c>
      <c r="I32" s="52" t="s">
        <v>83</v>
      </c>
      <c r="J32" s="53" t="s">
        <v>84</v>
      </c>
      <c r="K32" s="52">
        <v>13</v>
      </c>
      <c r="L32" s="52" t="s">
        <v>75</v>
      </c>
      <c r="M32" s="53" t="s">
        <v>80</v>
      </c>
      <c r="N32" s="53"/>
      <c r="O32" s="54" t="s">
        <v>85</v>
      </c>
      <c r="P32" s="54" t="s">
        <v>86</v>
      </c>
    </row>
    <row r="33" spans="1:16" ht="12.75" customHeight="1" thickBot="1" x14ac:dyDescent="0.25">
      <c r="A33" s="43" t="str">
        <f t="shared" si="0"/>
        <v> LAWS 2.27 </v>
      </c>
      <c r="B33" s="5" t="str">
        <f t="shared" si="1"/>
        <v>II</v>
      </c>
      <c r="C33" s="43">
        <f t="shared" si="2"/>
        <v>17553.547999999999</v>
      </c>
      <c r="D33" s="19" t="str">
        <f t="shared" si="3"/>
        <v>vis</v>
      </c>
      <c r="E33" s="51">
        <f>VLOOKUP(C33,Active!C$21:E$972,3,FALSE)</f>
        <v>13.505481185950858</v>
      </c>
      <c r="F33" s="5" t="s">
        <v>33</v>
      </c>
      <c r="G33" s="19" t="str">
        <f t="shared" si="4"/>
        <v>17553.548</v>
      </c>
      <c r="H33" s="43">
        <f t="shared" si="5"/>
        <v>13.5</v>
      </c>
      <c r="I33" s="52" t="s">
        <v>87</v>
      </c>
      <c r="J33" s="53" t="s">
        <v>88</v>
      </c>
      <c r="K33" s="52">
        <v>13.5</v>
      </c>
      <c r="L33" s="52" t="s">
        <v>89</v>
      </c>
      <c r="M33" s="53" t="s">
        <v>80</v>
      </c>
      <c r="N33" s="53"/>
      <c r="O33" s="54" t="s">
        <v>85</v>
      </c>
      <c r="P33" s="54" t="s">
        <v>86</v>
      </c>
    </row>
    <row r="34" spans="1:16" ht="12.75" customHeight="1" thickBot="1" x14ac:dyDescent="0.25">
      <c r="A34" s="43" t="str">
        <f t="shared" si="0"/>
        <v> LAWS 2.27 </v>
      </c>
      <c r="B34" s="5" t="str">
        <f t="shared" si="1"/>
        <v>I</v>
      </c>
      <c r="C34" s="43">
        <f t="shared" si="2"/>
        <v>17570.575000000001</v>
      </c>
      <c r="D34" s="19" t="str">
        <f t="shared" si="3"/>
        <v>vis</v>
      </c>
      <c r="E34" s="51">
        <f>VLOOKUP(C34,Active!C$21:E$972,3,FALSE)</f>
        <v>18.002378308449554</v>
      </c>
      <c r="F34" s="5" t="s">
        <v>33</v>
      </c>
      <c r="G34" s="19" t="str">
        <f t="shared" si="4"/>
        <v>17570.575</v>
      </c>
      <c r="H34" s="43">
        <f t="shared" si="5"/>
        <v>18</v>
      </c>
      <c r="I34" s="52" t="s">
        <v>90</v>
      </c>
      <c r="J34" s="53" t="s">
        <v>91</v>
      </c>
      <c r="K34" s="52">
        <v>18</v>
      </c>
      <c r="L34" s="52" t="s">
        <v>92</v>
      </c>
      <c r="M34" s="53" t="s">
        <v>80</v>
      </c>
      <c r="N34" s="53"/>
      <c r="O34" s="54" t="s">
        <v>93</v>
      </c>
      <c r="P34" s="54" t="s">
        <v>86</v>
      </c>
    </row>
    <row r="35" spans="1:16" ht="12.75" customHeight="1" thickBot="1" x14ac:dyDescent="0.25">
      <c r="A35" s="43" t="str">
        <f t="shared" si="0"/>
        <v> LAWS 2.27 </v>
      </c>
      <c r="B35" s="5" t="str">
        <f t="shared" si="1"/>
        <v>I</v>
      </c>
      <c r="C35" s="43">
        <f t="shared" si="2"/>
        <v>17615.965</v>
      </c>
      <c r="D35" s="19" t="str">
        <f t="shared" si="3"/>
        <v>vis</v>
      </c>
      <c r="E35" s="51">
        <f>VLOOKUP(C35,Active!C$21:E$972,3,FALSE)</f>
        <v>29.990054375295788</v>
      </c>
      <c r="F35" s="5" t="s">
        <v>33</v>
      </c>
      <c r="G35" s="19" t="str">
        <f t="shared" si="4"/>
        <v>17615.965</v>
      </c>
      <c r="H35" s="43">
        <f t="shared" si="5"/>
        <v>30</v>
      </c>
      <c r="I35" s="52" t="s">
        <v>94</v>
      </c>
      <c r="J35" s="53" t="s">
        <v>95</v>
      </c>
      <c r="K35" s="52">
        <v>30</v>
      </c>
      <c r="L35" s="52" t="s">
        <v>96</v>
      </c>
      <c r="M35" s="53" t="s">
        <v>80</v>
      </c>
      <c r="N35" s="53"/>
      <c r="O35" s="54" t="s">
        <v>97</v>
      </c>
      <c r="P35" s="54" t="s">
        <v>86</v>
      </c>
    </row>
    <row r="36" spans="1:16" ht="12.75" customHeight="1" thickBot="1" x14ac:dyDescent="0.25">
      <c r="A36" s="43" t="str">
        <f t="shared" si="0"/>
        <v> LAWS 2.27 </v>
      </c>
      <c r="B36" s="5" t="str">
        <f t="shared" si="1"/>
        <v>II</v>
      </c>
      <c r="C36" s="43">
        <f t="shared" si="2"/>
        <v>17689.859</v>
      </c>
      <c r="D36" s="19" t="str">
        <f t="shared" si="3"/>
        <v>vis</v>
      </c>
      <c r="E36" s="51">
        <f>VLOOKUP(C36,Active!C$21:E$972,3,FALSE)</f>
        <v>49.505748036532836</v>
      </c>
      <c r="F36" s="5" t="s">
        <v>33</v>
      </c>
      <c r="G36" s="19" t="str">
        <f t="shared" si="4"/>
        <v>17689.859</v>
      </c>
      <c r="H36" s="43">
        <f t="shared" si="5"/>
        <v>49.5</v>
      </c>
      <c r="I36" s="52" t="s">
        <v>98</v>
      </c>
      <c r="J36" s="53" t="s">
        <v>99</v>
      </c>
      <c r="K36" s="52">
        <v>49.5</v>
      </c>
      <c r="L36" s="52" t="s">
        <v>100</v>
      </c>
      <c r="M36" s="53" t="s">
        <v>80</v>
      </c>
      <c r="N36" s="53"/>
      <c r="O36" s="54" t="s">
        <v>97</v>
      </c>
      <c r="P36" s="54" t="s">
        <v>86</v>
      </c>
    </row>
    <row r="37" spans="1:16" ht="12.75" customHeight="1" thickBot="1" x14ac:dyDescent="0.25">
      <c r="A37" s="43" t="str">
        <f t="shared" si="0"/>
        <v> LAWS 2.27 </v>
      </c>
      <c r="B37" s="5" t="str">
        <f t="shared" si="1"/>
        <v>I</v>
      </c>
      <c r="C37" s="43">
        <f t="shared" si="2"/>
        <v>18043.857</v>
      </c>
      <c r="D37" s="19" t="str">
        <f t="shared" si="3"/>
        <v>vis</v>
      </c>
      <c r="E37" s="51">
        <f>VLOOKUP(C37,Active!C$21:E$972,3,FALSE)</f>
        <v>142.99800078629011</v>
      </c>
      <c r="F37" s="5" t="s">
        <v>33</v>
      </c>
      <c r="G37" s="19" t="str">
        <f t="shared" si="4"/>
        <v>18043.857</v>
      </c>
      <c r="H37" s="43">
        <f t="shared" si="5"/>
        <v>143</v>
      </c>
      <c r="I37" s="52" t="s">
        <v>101</v>
      </c>
      <c r="J37" s="53" t="s">
        <v>102</v>
      </c>
      <c r="K37" s="52">
        <v>143</v>
      </c>
      <c r="L37" s="52" t="s">
        <v>103</v>
      </c>
      <c r="M37" s="53" t="s">
        <v>80</v>
      </c>
      <c r="N37" s="53"/>
      <c r="O37" s="54" t="s">
        <v>97</v>
      </c>
      <c r="P37" s="54" t="s">
        <v>86</v>
      </c>
    </row>
    <row r="38" spans="1:16" ht="12.75" customHeight="1" thickBot="1" x14ac:dyDescent="0.25">
      <c r="A38" s="43" t="str">
        <f t="shared" si="0"/>
        <v> LAWS 2.27 </v>
      </c>
      <c r="B38" s="5" t="str">
        <f t="shared" si="1"/>
        <v>II</v>
      </c>
      <c r="C38" s="43">
        <f t="shared" si="2"/>
        <v>18132.829000000002</v>
      </c>
      <c r="D38" s="19" t="str">
        <f t="shared" si="3"/>
        <v>vis</v>
      </c>
      <c r="E38" s="51">
        <f>VLOOKUP(C38,Active!C$21:E$972,3,FALSE)</f>
        <v>166.49585306695712</v>
      </c>
      <c r="F38" s="5" t="s">
        <v>33</v>
      </c>
      <c r="G38" s="19" t="str">
        <f t="shared" si="4"/>
        <v>18132.829</v>
      </c>
      <c r="H38" s="43">
        <f t="shared" si="5"/>
        <v>166.5</v>
      </c>
      <c r="I38" s="52" t="s">
        <v>104</v>
      </c>
      <c r="J38" s="53" t="s">
        <v>105</v>
      </c>
      <c r="K38" s="52">
        <v>166.5</v>
      </c>
      <c r="L38" s="52" t="s">
        <v>106</v>
      </c>
      <c r="M38" s="53" t="s">
        <v>80</v>
      </c>
      <c r="N38" s="53"/>
      <c r="O38" s="54" t="s">
        <v>97</v>
      </c>
      <c r="P38" s="54" t="s">
        <v>86</v>
      </c>
    </row>
    <row r="39" spans="1:16" ht="12.75" customHeight="1" thickBot="1" x14ac:dyDescent="0.25">
      <c r="A39" s="43" t="str">
        <f t="shared" si="0"/>
        <v> LAWS 2.27 </v>
      </c>
      <c r="B39" s="5" t="str">
        <f t="shared" si="1"/>
        <v>II</v>
      </c>
      <c r="C39" s="43">
        <f t="shared" si="2"/>
        <v>18136.603999999999</v>
      </c>
      <c r="D39" s="19" t="str">
        <f t="shared" si="3"/>
        <v>vis</v>
      </c>
      <c r="E39" s="51">
        <f>VLOOKUP(C39,Active!C$21:E$972,3,FALSE)</f>
        <v>167.49284529326951</v>
      </c>
      <c r="F39" s="5" t="s">
        <v>33</v>
      </c>
      <c r="G39" s="19" t="str">
        <f t="shared" si="4"/>
        <v>18136.604</v>
      </c>
      <c r="H39" s="43">
        <f t="shared" si="5"/>
        <v>167.5</v>
      </c>
      <c r="I39" s="52" t="s">
        <v>107</v>
      </c>
      <c r="J39" s="53" t="s">
        <v>108</v>
      </c>
      <c r="K39" s="52">
        <v>167.5</v>
      </c>
      <c r="L39" s="52" t="s">
        <v>109</v>
      </c>
      <c r="M39" s="53" t="s">
        <v>80</v>
      </c>
      <c r="N39" s="53"/>
      <c r="O39" s="54" t="s">
        <v>97</v>
      </c>
      <c r="P39" s="54" t="s">
        <v>86</v>
      </c>
    </row>
    <row r="40" spans="1:16" ht="12.75" customHeight="1" thickBot="1" x14ac:dyDescent="0.25">
      <c r="A40" s="43" t="str">
        <f t="shared" si="0"/>
        <v> LAWS 2.27 </v>
      </c>
      <c r="B40" s="5" t="str">
        <f t="shared" si="1"/>
        <v>I</v>
      </c>
      <c r="C40" s="43">
        <f t="shared" si="2"/>
        <v>18153.651000000002</v>
      </c>
      <c r="D40" s="19" t="str">
        <f t="shared" si="3"/>
        <v>vis</v>
      </c>
      <c r="E40" s="51">
        <f>VLOOKUP(C40,Active!C$21:E$972,3,FALSE)</f>
        <v>171.99502449378852</v>
      </c>
      <c r="F40" s="5" t="s">
        <v>33</v>
      </c>
      <c r="G40" s="19" t="str">
        <f t="shared" si="4"/>
        <v>18153.651</v>
      </c>
      <c r="H40" s="43">
        <f t="shared" si="5"/>
        <v>172</v>
      </c>
      <c r="I40" s="52" t="s">
        <v>110</v>
      </c>
      <c r="J40" s="53" t="s">
        <v>111</v>
      </c>
      <c r="K40" s="52">
        <v>172</v>
      </c>
      <c r="L40" s="52" t="s">
        <v>112</v>
      </c>
      <c r="M40" s="53" t="s">
        <v>80</v>
      </c>
      <c r="N40" s="53"/>
      <c r="O40" s="54" t="s">
        <v>97</v>
      </c>
      <c r="P40" s="54" t="s">
        <v>86</v>
      </c>
    </row>
    <row r="41" spans="1:16" ht="12.75" customHeight="1" thickBot="1" x14ac:dyDescent="0.25">
      <c r="A41" s="43" t="str">
        <f t="shared" si="0"/>
        <v> LAWS 2.27 </v>
      </c>
      <c r="B41" s="5" t="str">
        <f t="shared" si="1"/>
        <v>II</v>
      </c>
      <c r="C41" s="43">
        <f t="shared" si="2"/>
        <v>18507.674999999999</v>
      </c>
      <c r="D41" s="19" t="str">
        <f t="shared" si="3"/>
        <v>vis</v>
      </c>
      <c r="E41" s="51">
        <f>VLOOKUP(C41,Active!C$21:E$972,3,FALSE)</f>
        <v>265.49414394497154</v>
      </c>
      <c r="F41" s="5" t="s">
        <v>33</v>
      </c>
      <c r="G41" s="19" t="str">
        <f t="shared" si="4"/>
        <v>18507.675</v>
      </c>
      <c r="H41" s="43">
        <f t="shared" si="5"/>
        <v>265.5</v>
      </c>
      <c r="I41" s="52" t="s">
        <v>113</v>
      </c>
      <c r="J41" s="53" t="s">
        <v>114</v>
      </c>
      <c r="K41" s="52">
        <v>265.5</v>
      </c>
      <c r="L41" s="52" t="s">
        <v>115</v>
      </c>
      <c r="M41" s="53" t="s">
        <v>80</v>
      </c>
      <c r="N41" s="53"/>
      <c r="O41" s="54" t="s">
        <v>97</v>
      </c>
      <c r="P41" s="54" t="s">
        <v>86</v>
      </c>
    </row>
    <row r="42" spans="1:16" ht="12.75" customHeight="1" thickBot="1" x14ac:dyDescent="0.25">
      <c r="A42" s="43" t="str">
        <f t="shared" si="0"/>
        <v> LAWS 2.27 </v>
      </c>
      <c r="B42" s="5" t="str">
        <f t="shared" si="1"/>
        <v>II</v>
      </c>
      <c r="C42" s="43">
        <f t="shared" si="2"/>
        <v>18931.769</v>
      </c>
      <c r="D42" s="19" t="str">
        <f t="shared" si="3"/>
        <v>vis</v>
      </c>
      <c r="E42" s="51">
        <f>VLOOKUP(C42,Active!C$21:E$972,3,FALSE)</f>
        <v>377.49902373992995</v>
      </c>
      <c r="F42" s="5" t="s">
        <v>33</v>
      </c>
      <c r="G42" s="19" t="str">
        <f t="shared" si="4"/>
        <v>18931.769</v>
      </c>
      <c r="H42" s="43">
        <f t="shared" si="5"/>
        <v>377.5</v>
      </c>
      <c r="I42" s="52" t="s">
        <v>116</v>
      </c>
      <c r="J42" s="53" t="s">
        <v>117</v>
      </c>
      <c r="K42" s="52">
        <v>377.5</v>
      </c>
      <c r="L42" s="52" t="s">
        <v>118</v>
      </c>
      <c r="M42" s="53" t="s">
        <v>80</v>
      </c>
      <c r="N42" s="53"/>
      <c r="O42" s="54" t="s">
        <v>97</v>
      </c>
      <c r="P42" s="54" t="s">
        <v>86</v>
      </c>
    </row>
    <row r="43" spans="1:16" ht="12.75" customHeight="1" thickBot="1" x14ac:dyDescent="0.25">
      <c r="A43" s="43" t="str">
        <f t="shared" si="0"/>
        <v> LAWS 2.27 </v>
      </c>
      <c r="B43" s="5" t="str">
        <f t="shared" si="1"/>
        <v>II</v>
      </c>
      <c r="C43" s="43">
        <f t="shared" si="2"/>
        <v>18946.915000000001</v>
      </c>
      <c r="D43" s="19" t="str">
        <f t="shared" si="3"/>
        <v>vis</v>
      </c>
      <c r="E43" s="51">
        <f>VLOOKUP(C43,Active!C$21:E$972,3,FALSE)</f>
        <v>381.49914142462842</v>
      </c>
      <c r="F43" s="5" t="s">
        <v>33</v>
      </c>
      <c r="G43" s="19" t="str">
        <f t="shared" si="4"/>
        <v>18946.915</v>
      </c>
      <c r="H43" s="43">
        <f t="shared" si="5"/>
        <v>381.5</v>
      </c>
      <c r="I43" s="52" t="s">
        <v>119</v>
      </c>
      <c r="J43" s="53" t="s">
        <v>120</v>
      </c>
      <c r="K43" s="52">
        <v>381.5</v>
      </c>
      <c r="L43" s="52" t="s">
        <v>75</v>
      </c>
      <c r="M43" s="53" t="s">
        <v>80</v>
      </c>
      <c r="N43" s="53"/>
      <c r="O43" s="54" t="s">
        <v>97</v>
      </c>
      <c r="P43" s="54" t="s">
        <v>86</v>
      </c>
    </row>
    <row r="44" spans="1:16" ht="12.75" customHeight="1" thickBot="1" x14ac:dyDescent="0.25">
      <c r="A44" s="43" t="str">
        <f t="shared" si="0"/>
        <v> LAWS 2.27 </v>
      </c>
      <c r="B44" s="5" t="str">
        <f t="shared" si="1"/>
        <v>I</v>
      </c>
      <c r="C44" s="43">
        <f t="shared" si="2"/>
        <v>18952.580999999998</v>
      </c>
      <c r="D44" s="19" t="str">
        <f t="shared" si="3"/>
        <v>vis</v>
      </c>
      <c r="E44" s="51">
        <f>VLOOKUP(C44,Active!C$21:E$972,3,FALSE)</f>
        <v>382.99555412775072</v>
      </c>
      <c r="F44" s="5" t="s">
        <v>33</v>
      </c>
      <c r="G44" s="19" t="str">
        <f t="shared" si="4"/>
        <v>18952.581</v>
      </c>
      <c r="H44" s="43">
        <f t="shared" si="5"/>
        <v>383</v>
      </c>
      <c r="I44" s="52" t="s">
        <v>121</v>
      </c>
      <c r="J44" s="53" t="s">
        <v>122</v>
      </c>
      <c r="K44" s="52">
        <v>383</v>
      </c>
      <c r="L44" s="52" t="s">
        <v>123</v>
      </c>
      <c r="M44" s="53" t="s">
        <v>80</v>
      </c>
      <c r="N44" s="53"/>
      <c r="O44" s="54" t="s">
        <v>97</v>
      </c>
      <c r="P44" s="54" t="s">
        <v>86</v>
      </c>
    </row>
    <row r="45" spans="1:16" ht="12.75" customHeight="1" thickBot="1" x14ac:dyDescent="0.25">
      <c r="A45" s="43" t="str">
        <f t="shared" si="0"/>
        <v> LAWS 2.27 </v>
      </c>
      <c r="B45" s="5" t="str">
        <f t="shared" si="1"/>
        <v>I</v>
      </c>
      <c r="C45" s="43">
        <f t="shared" si="2"/>
        <v>18967.723999999998</v>
      </c>
      <c r="D45" s="19" t="str">
        <f t="shared" si="3"/>
        <v>vis</v>
      </c>
      <c r="E45" s="51">
        <f>VLOOKUP(C45,Active!C$21:E$972,3,FALSE)</f>
        <v>386.99487950074598</v>
      </c>
      <c r="F45" s="5" t="s">
        <v>33</v>
      </c>
      <c r="G45" s="19" t="str">
        <f t="shared" si="4"/>
        <v>18967.724</v>
      </c>
      <c r="H45" s="43">
        <f t="shared" si="5"/>
        <v>387</v>
      </c>
      <c r="I45" s="52" t="s">
        <v>124</v>
      </c>
      <c r="J45" s="53" t="s">
        <v>125</v>
      </c>
      <c r="K45" s="52">
        <v>387</v>
      </c>
      <c r="L45" s="52" t="s">
        <v>112</v>
      </c>
      <c r="M45" s="53" t="s">
        <v>80</v>
      </c>
      <c r="N45" s="53"/>
      <c r="O45" s="54" t="s">
        <v>97</v>
      </c>
      <c r="P45" s="54" t="s">
        <v>86</v>
      </c>
    </row>
    <row r="46" spans="1:16" ht="12.75" customHeight="1" thickBot="1" x14ac:dyDescent="0.25">
      <c r="A46" s="43" t="str">
        <f t="shared" si="0"/>
        <v> CRAC 25 </v>
      </c>
      <c r="B46" s="5" t="str">
        <f t="shared" si="1"/>
        <v>I</v>
      </c>
      <c r="C46" s="43">
        <f t="shared" si="2"/>
        <v>24594.31</v>
      </c>
      <c r="D46" s="19" t="str">
        <f t="shared" si="3"/>
        <v>vis</v>
      </c>
      <c r="E46" s="51">
        <f>VLOOKUP(C46,Active!C$21:E$972,3,FALSE)</f>
        <v>1872.9981914693069</v>
      </c>
      <c r="F46" s="5" t="s">
        <v>33</v>
      </c>
      <c r="G46" s="19" t="str">
        <f t="shared" si="4"/>
        <v>24594.310</v>
      </c>
      <c r="H46" s="43">
        <f t="shared" si="5"/>
        <v>1873</v>
      </c>
      <c r="I46" s="52" t="s">
        <v>126</v>
      </c>
      <c r="J46" s="53" t="s">
        <v>127</v>
      </c>
      <c r="K46" s="52">
        <v>1873</v>
      </c>
      <c r="L46" s="52" t="s">
        <v>128</v>
      </c>
      <c r="M46" s="53" t="s">
        <v>80</v>
      </c>
      <c r="N46" s="53"/>
      <c r="O46" s="54" t="s">
        <v>129</v>
      </c>
      <c r="P46" s="54" t="s">
        <v>130</v>
      </c>
    </row>
    <row r="47" spans="1:16" ht="12.75" customHeight="1" thickBot="1" x14ac:dyDescent="0.25">
      <c r="A47" s="43" t="str">
        <f t="shared" si="0"/>
        <v> BKZ 1.5 </v>
      </c>
      <c r="B47" s="5" t="str">
        <f t="shared" si="1"/>
        <v>II</v>
      </c>
      <c r="C47" s="43">
        <f t="shared" si="2"/>
        <v>25508.73</v>
      </c>
      <c r="D47" s="19" t="str">
        <f t="shared" si="3"/>
        <v>vis</v>
      </c>
      <c r="E47" s="51">
        <f>VLOOKUP(C47,Active!C$21:E$972,3,FALSE)</f>
        <v>2114.5000806309208</v>
      </c>
      <c r="F47" s="5" t="s">
        <v>33</v>
      </c>
      <c r="G47" s="19" t="str">
        <f t="shared" si="4"/>
        <v>25508.730</v>
      </c>
      <c r="H47" s="43">
        <f t="shared" si="5"/>
        <v>2114.5</v>
      </c>
      <c r="I47" s="52" t="s">
        <v>131</v>
      </c>
      <c r="J47" s="53" t="s">
        <v>132</v>
      </c>
      <c r="K47" s="52">
        <v>2114.5</v>
      </c>
      <c r="L47" s="52" t="s">
        <v>133</v>
      </c>
      <c r="M47" s="53" t="s">
        <v>80</v>
      </c>
      <c r="N47" s="53"/>
      <c r="O47" s="54" t="s">
        <v>134</v>
      </c>
      <c r="P47" s="54" t="s">
        <v>135</v>
      </c>
    </row>
    <row r="48" spans="1:16" ht="12.75" customHeight="1" thickBot="1" x14ac:dyDescent="0.25">
      <c r="A48" s="43" t="str">
        <f t="shared" si="0"/>
        <v> HB 919.7 </v>
      </c>
      <c r="B48" s="5" t="str">
        <f t="shared" si="1"/>
        <v>II</v>
      </c>
      <c r="C48" s="43">
        <f t="shared" si="2"/>
        <v>25508.73</v>
      </c>
      <c r="D48" s="19" t="str">
        <f t="shared" si="3"/>
        <v>vis</v>
      </c>
      <c r="E48" s="51">
        <f>VLOOKUP(C48,Active!C$21:E$972,3,FALSE)</f>
        <v>2114.5000806309208</v>
      </c>
      <c r="F48" s="5" t="s">
        <v>33</v>
      </c>
      <c r="G48" s="19" t="str">
        <f t="shared" si="4"/>
        <v>25508.730</v>
      </c>
      <c r="H48" s="43">
        <f t="shared" si="5"/>
        <v>2114.5</v>
      </c>
      <c r="I48" s="52" t="s">
        <v>131</v>
      </c>
      <c r="J48" s="53" t="s">
        <v>132</v>
      </c>
      <c r="K48" s="52">
        <v>2114.5</v>
      </c>
      <c r="L48" s="52" t="s">
        <v>133</v>
      </c>
      <c r="M48" s="53" t="s">
        <v>76</v>
      </c>
      <c r="N48" s="53"/>
      <c r="O48" s="54" t="s">
        <v>136</v>
      </c>
      <c r="P48" s="54" t="s">
        <v>137</v>
      </c>
    </row>
    <row r="49" spans="1:16" ht="12.75" customHeight="1" thickBot="1" x14ac:dyDescent="0.25">
      <c r="A49" s="43" t="str">
        <f t="shared" si="0"/>
        <v> AAC 2.73 </v>
      </c>
      <c r="B49" s="5" t="str">
        <f t="shared" si="1"/>
        <v>I</v>
      </c>
      <c r="C49" s="43">
        <f t="shared" si="2"/>
        <v>25620.43</v>
      </c>
      <c r="D49" s="19" t="str">
        <f t="shared" si="3"/>
        <v>vis</v>
      </c>
      <c r="E49" s="51">
        <f>VLOOKUP(C49,Active!C$21:E$972,3,FALSE)</f>
        <v>2144.000486373744</v>
      </c>
      <c r="F49" s="5" t="s">
        <v>33</v>
      </c>
      <c r="G49" s="19" t="str">
        <f t="shared" si="4"/>
        <v>25620.430</v>
      </c>
      <c r="H49" s="43">
        <f t="shared" si="5"/>
        <v>2144</v>
      </c>
      <c r="I49" s="52" t="s">
        <v>138</v>
      </c>
      <c r="J49" s="53" t="s">
        <v>139</v>
      </c>
      <c r="K49" s="52">
        <v>2144</v>
      </c>
      <c r="L49" s="52" t="s">
        <v>140</v>
      </c>
      <c r="M49" s="53" t="s">
        <v>80</v>
      </c>
      <c r="N49" s="53"/>
      <c r="O49" s="54" t="s">
        <v>129</v>
      </c>
      <c r="P49" s="54" t="s">
        <v>141</v>
      </c>
    </row>
    <row r="50" spans="1:16" ht="12.75" customHeight="1" thickBot="1" x14ac:dyDescent="0.25">
      <c r="A50" s="43" t="str">
        <f t="shared" si="0"/>
        <v> BKZ 1.5 </v>
      </c>
      <c r="B50" s="5" t="str">
        <f t="shared" si="1"/>
        <v>I</v>
      </c>
      <c r="C50" s="43">
        <f t="shared" si="2"/>
        <v>27070.615000000002</v>
      </c>
      <c r="D50" s="19" t="str">
        <f t="shared" si="3"/>
        <v>vis</v>
      </c>
      <c r="E50" s="51">
        <f>VLOOKUP(C50,Active!C$21:E$972,3,FALSE)</f>
        <v>2527.000002060011</v>
      </c>
      <c r="F50" s="5" t="s">
        <v>33</v>
      </c>
      <c r="G50" s="19" t="str">
        <f t="shared" si="4"/>
        <v>27070.615</v>
      </c>
      <c r="H50" s="43">
        <f t="shared" si="5"/>
        <v>2527</v>
      </c>
      <c r="I50" s="52" t="s">
        <v>142</v>
      </c>
      <c r="J50" s="53" t="s">
        <v>143</v>
      </c>
      <c r="K50" s="52">
        <v>2527</v>
      </c>
      <c r="L50" s="52" t="s">
        <v>133</v>
      </c>
      <c r="M50" s="53" t="s">
        <v>80</v>
      </c>
      <c r="N50" s="53"/>
      <c r="O50" s="54" t="s">
        <v>134</v>
      </c>
      <c r="P50" s="54" t="s">
        <v>135</v>
      </c>
    </row>
    <row r="51" spans="1:16" ht="12.75" customHeight="1" thickBot="1" x14ac:dyDescent="0.25">
      <c r="A51" s="43" t="str">
        <f t="shared" si="0"/>
        <v> HA 113.73 </v>
      </c>
      <c r="B51" s="5" t="str">
        <f t="shared" si="1"/>
        <v>I</v>
      </c>
      <c r="C51" s="43">
        <f t="shared" si="2"/>
        <v>29766.507000000001</v>
      </c>
      <c r="D51" s="19" t="str">
        <f t="shared" si="3"/>
        <v>vis</v>
      </c>
      <c r="E51" s="51">
        <f>VLOOKUP(C51,Active!C$21:E$972,3,FALSE)</f>
        <v>3238.9955959618096</v>
      </c>
      <c r="F51" s="5" t="s">
        <v>33</v>
      </c>
      <c r="G51" s="19" t="str">
        <f t="shared" si="4"/>
        <v>29766.507</v>
      </c>
      <c r="H51" s="43">
        <f t="shared" si="5"/>
        <v>3239</v>
      </c>
      <c r="I51" s="52" t="s">
        <v>144</v>
      </c>
      <c r="J51" s="53" t="s">
        <v>145</v>
      </c>
      <c r="K51" s="52">
        <v>3239</v>
      </c>
      <c r="L51" s="52" t="s">
        <v>123</v>
      </c>
      <c r="M51" s="53" t="s">
        <v>76</v>
      </c>
      <c r="N51" s="53"/>
      <c r="O51" s="54" t="s">
        <v>146</v>
      </c>
      <c r="P51" s="54" t="s">
        <v>147</v>
      </c>
    </row>
    <row r="52" spans="1:16" ht="12.75" customHeight="1" thickBot="1" x14ac:dyDescent="0.25">
      <c r="A52" s="43" t="str">
        <f t="shared" si="0"/>
        <v>BAVM 62 </v>
      </c>
      <c r="B52" s="5" t="str">
        <f t="shared" si="1"/>
        <v>I</v>
      </c>
      <c r="C52" s="43">
        <f t="shared" si="2"/>
        <v>48804.523300000001</v>
      </c>
      <c r="D52" s="19" t="str">
        <f t="shared" si="3"/>
        <v>vis</v>
      </c>
      <c r="E52" s="51">
        <f>VLOOKUP(C52,Active!C$21:E$972,3,FALSE)</f>
        <v>8267.0099682848195</v>
      </c>
      <c r="F52" s="5" t="s">
        <v>33</v>
      </c>
      <c r="G52" s="19" t="str">
        <f t="shared" si="4"/>
        <v>48804.5233</v>
      </c>
      <c r="H52" s="43">
        <f t="shared" si="5"/>
        <v>8267</v>
      </c>
      <c r="I52" s="52" t="s">
        <v>148</v>
      </c>
      <c r="J52" s="53" t="s">
        <v>149</v>
      </c>
      <c r="K52" s="52">
        <v>8267</v>
      </c>
      <c r="L52" s="52" t="s">
        <v>150</v>
      </c>
      <c r="M52" s="53" t="s">
        <v>151</v>
      </c>
      <c r="N52" s="53" t="s">
        <v>152</v>
      </c>
      <c r="O52" s="54" t="s">
        <v>153</v>
      </c>
      <c r="P52" s="55" t="s">
        <v>154</v>
      </c>
    </row>
    <row r="53" spans="1:16" ht="12.75" customHeight="1" thickBot="1" x14ac:dyDescent="0.25">
      <c r="A53" s="43" t="str">
        <f t="shared" si="0"/>
        <v>IBVS 5594 </v>
      </c>
      <c r="B53" s="5" t="str">
        <f t="shared" si="1"/>
        <v>I</v>
      </c>
      <c r="C53" s="43">
        <f t="shared" si="2"/>
        <v>52602.2834</v>
      </c>
      <c r="D53" s="19" t="str">
        <f t="shared" si="3"/>
        <v>vis</v>
      </c>
      <c r="E53" s="51" t="e">
        <f>VLOOKUP(C53,Active!C$21:E$972,3,FALSE)</f>
        <v>#N/A</v>
      </c>
      <c r="F53" s="5" t="s">
        <v>33</v>
      </c>
      <c r="G53" s="19" t="str">
        <f t="shared" si="4"/>
        <v>52602.2834</v>
      </c>
      <c r="H53" s="43">
        <f t="shared" si="5"/>
        <v>9270</v>
      </c>
      <c r="I53" s="52" t="s">
        <v>187</v>
      </c>
      <c r="J53" s="53" t="s">
        <v>188</v>
      </c>
      <c r="K53" s="52">
        <v>9270</v>
      </c>
      <c r="L53" s="52" t="s">
        <v>189</v>
      </c>
      <c r="M53" s="53" t="s">
        <v>151</v>
      </c>
      <c r="N53" s="53" t="s">
        <v>179</v>
      </c>
      <c r="O53" s="54" t="s">
        <v>185</v>
      </c>
      <c r="P53" s="55" t="s">
        <v>186</v>
      </c>
    </row>
    <row r="54" spans="1:16" x14ac:dyDescent="0.2">
      <c r="B54" s="5"/>
      <c r="F54" s="5"/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</sheetData>
  <phoneticPr fontId="8" type="noConversion"/>
  <hyperlinks>
    <hyperlink ref="P52" r:id="rId1" display="http://www.bav-astro.de/sfs/BAVM_link.php?BAVMnr=62" xr:uid="{00000000-0004-0000-0100-000000000000}"/>
    <hyperlink ref="P11" r:id="rId2" display="http://www.bav-astro.de/sfs/BAVM_link.php?BAVMnr=62" xr:uid="{00000000-0004-0000-0100-000001000000}"/>
    <hyperlink ref="P12" r:id="rId3" display="http://www.bav-astro.de/sfs/BAVM_link.php?BAVMnr=62" xr:uid="{00000000-0004-0000-0100-000002000000}"/>
    <hyperlink ref="P13" r:id="rId4" display="http://www.bav-astro.de/sfs/BAVM_link.php?BAVMnr=62" xr:uid="{00000000-0004-0000-0100-000003000000}"/>
    <hyperlink ref="P14" r:id="rId5" display="http://www.bav-astro.de/sfs/BAVM_link.php?BAVMnr=62" xr:uid="{00000000-0004-0000-0100-000004000000}"/>
    <hyperlink ref="P15" r:id="rId6" display="http://www.bav-astro.de/sfs/BAVM_link.php?BAVMnr=80" xr:uid="{00000000-0004-0000-0100-000005000000}"/>
    <hyperlink ref="P16" r:id="rId7" display="http://www.bav-astro.de/sfs/BAVM_link.php?BAVMnr=80" xr:uid="{00000000-0004-0000-0100-000006000000}"/>
    <hyperlink ref="P18" r:id="rId8" display="http://www.konkoly.hu/cgi-bin/IBVS?5594" xr:uid="{00000000-0004-0000-0100-000007000000}"/>
    <hyperlink ref="P53" r:id="rId9" display="http://www.konkoly.hu/cgi-bin/IBVS?5594" xr:uid="{00000000-0004-0000-0100-000008000000}"/>
    <hyperlink ref="P19" r:id="rId10" display="http://www.konkoly.hu/cgi-bin/IBVS?5713" xr:uid="{00000000-0004-0000-0100-000009000000}"/>
    <hyperlink ref="P20" r:id="rId11" display="http://www.konkoly.hu/cgi-bin/IBVS?5835" xr:uid="{00000000-0004-0000-0100-00000A000000}"/>
    <hyperlink ref="P21" r:id="rId12" display="http://www.bav-astro.de/sfs/BAVM_link.php?BAVMnr=186" xr:uid="{00000000-0004-0000-0100-00000B000000}"/>
    <hyperlink ref="P22" r:id="rId13" display="http://www.bav-astro.de/sfs/BAVM_link.php?BAVMnr=201" xr:uid="{00000000-0004-0000-0100-00000C000000}"/>
    <hyperlink ref="P23" r:id="rId14" display="http://www.bav-astro.de/sfs/BAVM_link.php?BAVMnr=215" xr:uid="{00000000-0004-0000-0100-00000D000000}"/>
    <hyperlink ref="P24" r:id="rId15" display="http://www.konkoly.hu/cgi-bin/IBVS?5992" xr:uid="{00000000-0004-0000-0100-00000E000000}"/>
    <hyperlink ref="P25" r:id="rId16" display="http://var.astro.cz/oejv/issues/oejv0160.pdf" xr:uid="{00000000-0004-0000-0100-00000F000000}"/>
    <hyperlink ref="P26" r:id="rId17" display="http://var.astro.cz/oejv/issues/oejv0160.pdf" xr:uid="{00000000-0004-0000-0100-000010000000}"/>
    <hyperlink ref="P27" r:id="rId18" display="http://var.astro.cz/oejv/issues/oejv0160.pdf" xr:uid="{00000000-0004-0000-0100-000011000000}"/>
    <hyperlink ref="P28" r:id="rId19" display="http://www.konkoly.hu/cgi-bin/IBVS?6007" xr:uid="{00000000-0004-0000-0100-000012000000}"/>
    <hyperlink ref="P29" r:id="rId20" display="http://www.konkoly.hu/cgi-bin/IBVS?6029" xr:uid="{00000000-0004-0000-0100-000013000000}"/>
    <hyperlink ref="P30" r:id="rId21" display="http://www.bav-astro.de/sfs/BAVM_link.php?BAVMnr=238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2024-01-05T00:53:56Z</dcterms:modified>
</cp:coreProperties>
</file>