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7928D59-AFE2-4C3F-A38E-904BE75B89C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4" i="1" l="1"/>
  <c r="C7" i="1"/>
  <c r="E44" i="1"/>
  <c r="F44" i="1"/>
  <c r="E41" i="1"/>
  <c r="F41" i="1"/>
  <c r="G41" i="1"/>
  <c r="K41" i="1"/>
  <c r="C8" i="1"/>
  <c r="Q41" i="1"/>
  <c r="E31" i="1"/>
  <c r="F31" i="1"/>
  <c r="G31" i="1"/>
  <c r="R31" i="1"/>
  <c r="E37" i="1"/>
  <c r="F37" i="1"/>
  <c r="G37" i="1"/>
  <c r="D14" i="1"/>
  <c r="D13" i="1"/>
  <c r="E21" i="1"/>
  <c r="F21" i="1"/>
  <c r="G21" i="1"/>
  <c r="S21" i="1"/>
  <c r="S19" i="1"/>
  <c r="E19" i="1"/>
  <c r="E22" i="1"/>
  <c r="F22" i="1"/>
  <c r="G22" i="1"/>
  <c r="S22" i="1"/>
  <c r="E23" i="1"/>
  <c r="F23" i="1"/>
  <c r="G23" i="1"/>
  <c r="R23" i="1"/>
  <c r="E25" i="1"/>
  <c r="F25" i="1"/>
  <c r="G25" i="1"/>
  <c r="E27" i="1"/>
  <c r="F27" i="1"/>
  <c r="G27" i="1"/>
  <c r="I27" i="1"/>
  <c r="E30" i="1"/>
  <c r="F30" i="1"/>
  <c r="G30" i="1"/>
  <c r="E34" i="1"/>
  <c r="F34" i="1"/>
  <c r="G34" i="1"/>
  <c r="E36" i="1"/>
  <c r="F36" i="1"/>
  <c r="G36" i="1"/>
  <c r="R36" i="1"/>
  <c r="E39" i="1"/>
  <c r="F39" i="1"/>
  <c r="G39" i="1"/>
  <c r="E42" i="1"/>
  <c r="F42" i="1"/>
  <c r="G42" i="1"/>
  <c r="C13" i="1"/>
  <c r="C14" i="1"/>
  <c r="Q37" i="1"/>
  <c r="Q33" i="1"/>
  <c r="Q31" i="1"/>
  <c r="Q28" i="1"/>
  <c r="G22" i="2"/>
  <c r="C22" i="2"/>
  <c r="G21" i="2"/>
  <c r="C21" i="2"/>
  <c r="E21" i="2"/>
  <c r="G27" i="2"/>
  <c r="C27" i="2"/>
  <c r="E27" i="2"/>
  <c r="G20" i="2"/>
  <c r="C20" i="2"/>
  <c r="G19" i="2"/>
  <c r="C19" i="2"/>
  <c r="E19" i="2"/>
  <c r="G26" i="2"/>
  <c r="C26" i="2"/>
  <c r="E26" i="2"/>
  <c r="G18" i="2"/>
  <c r="C18" i="2"/>
  <c r="E18" i="2"/>
  <c r="G17" i="2"/>
  <c r="C17" i="2"/>
  <c r="E17" i="2"/>
  <c r="G25" i="2"/>
  <c r="C25" i="2"/>
  <c r="G16" i="2"/>
  <c r="C16" i="2"/>
  <c r="G24" i="2"/>
  <c r="C24" i="2"/>
  <c r="E24" i="2"/>
  <c r="G15" i="2"/>
  <c r="C15" i="2"/>
  <c r="E15" i="2"/>
  <c r="G14" i="2"/>
  <c r="C14" i="2"/>
  <c r="E14" i="2"/>
  <c r="G23" i="2"/>
  <c r="C23" i="2"/>
  <c r="E23" i="2"/>
  <c r="G13" i="2"/>
  <c r="C13" i="2"/>
  <c r="G12" i="2"/>
  <c r="C12" i="2"/>
  <c r="E12" i="2"/>
  <c r="G11" i="2"/>
  <c r="C11" i="2"/>
  <c r="H22" i="2"/>
  <c r="B22" i="2"/>
  <c r="D22" i="2"/>
  <c r="A22" i="2"/>
  <c r="H21" i="2"/>
  <c r="B21" i="2"/>
  <c r="D21" i="2"/>
  <c r="A21" i="2"/>
  <c r="H27" i="2"/>
  <c r="B27" i="2"/>
  <c r="D27" i="2"/>
  <c r="A27" i="2"/>
  <c r="H20" i="2"/>
  <c r="B20" i="2"/>
  <c r="D20" i="2"/>
  <c r="A20" i="2"/>
  <c r="H19" i="2"/>
  <c r="B19" i="2"/>
  <c r="D19" i="2"/>
  <c r="A19" i="2"/>
  <c r="H26" i="2"/>
  <c r="B26" i="2"/>
  <c r="D26" i="2"/>
  <c r="A26" i="2"/>
  <c r="H18" i="2"/>
  <c r="B18" i="2"/>
  <c r="D18" i="2"/>
  <c r="A18" i="2"/>
  <c r="H17" i="2"/>
  <c r="B17" i="2"/>
  <c r="D17" i="2"/>
  <c r="A17" i="2"/>
  <c r="H25" i="2"/>
  <c r="B25" i="2"/>
  <c r="D25" i="2"/>
  <c r="A25" i="2"/>
  <c r="H16" i="2"/>
  <c r="B16" i="2"/>
  <c r="D16" i="2"/>
  <c r="A16" i="2"/>
  <c r="H24" i="2"/>
  <c r="B24" i="2"/>
  <c r="D24" i="2"/>
  <c r="A24" i="2"/>
  <c r="H15" i="2"/>
  <c r="B15" i="2"/>
  <c r="D15" i="2"/>
  <c r="A15" i="2"/>
  <c r="H14" i="2"/>
  <c r="B14" i="2"/>
  <c r="D14" i="2"/>
  <c r="A14" i="2"/>
  <c r="H23" i="2"/>
  <c r="B23" i="2"/>
  <c r="D23" i="2"/>
  <c r="A23" i="2"/>
  <c r="H13" i="2"/>
  <c r="B13" i="2"/>
  <c r="D13" i="2"/>
  <c r="A13" i="2"/>
  <c r="H12" i="2"/>
  <c r="B12" i="2"/>
  <c r="D12" i="2"/>
  <c r="A12" i="2"/>
  <c r="H11" i="2"/>
  <c r="B11" i="2"/>
  <c r="D11" i="2"/>
  <c r="A11" i="2"/>
  <c r="F12" i="1"/>
  <c r="F13" i="1" s="1"/>
  <c r="Q43" i="1"/>
  <c r="Q42" i="1"/>
  <c r="Q39" i="1"/>
  <c r="Q40" i="1"/>
  <c r="Q36" i="1"/>
  <c r="Q38" i="1"/>
  <c r="C17" i="1"/>
  <c r="Q32" i="1"/>
  <c r="Q34" i="1"/>
  <c r="Q35" i="1"/>
  <c r="Q29" i="1"/>
  <c r="Q30" i="1"/>
  <c r="Q21" i="1"/>
  <c r="Q22" i="1"/>
  <c r="Q24" i="1"/>
  <c r="Q25" i="1"/>
  <c r="Q26" i="1"/>
  <c r="Q27" i="1"/>
  <c r="Q23" i="1"/>
  <c r="R27" i="1"/>
  <c r="E43" i="1"/>
  <c r="F43" i="1"/>
  <c r="G43" i="1"/>
  <c r="E38" i="1"/>
  <c r="F38" i="1"/>
  <c r="G38" i="1"/>
  <c r="E32" i="1"/>
  <c r="F32" i="1"/>
  <c r="G32" i="1"/>
  <c r="E26" i="1"/>
  <c r="F26" i="1"/>
  <c r="G26" i="1"/>
  <c r="E28" i="1"/>
  <c r="F28" i="1"/>
  <c r="G28" i="1"/>
  <c r="J28" i="1"/>
  <c r="E40" i="1"/>
  <c r="F40" i="1"/>
  <c r="G40" i="1"/>
  <c r="E35" i="1"/>
  <c r="E29" i="1"/>
  <c r="F29" i="1"/>
  <c r="G29" i="1"/>
  <c r="E24" i="1"/>
  <c r="F24" i="1"/>
  <c r="G24" i="1"/>
  <c r="F35" i="1"/>
  <c r="G35" i="1"/>
  <c r="R35" i="1"/>
  <c r="E20" i="2"/>
  <c r="E22" i="2"/>
  <c r="E13" i="2"/>
  <c r="E16" i="2"/>
  <c r="R40" i="1"/>
  <c r="J40" i="1"/>
  <c r="R25" i="1"/>
  <c r="I25" i="1"/>
  <c r="R29" i="1"/>
  <c r="K29" i="1"/>
  <c r="R43" i="1"/>
  <c r="K43" i="1"/>
  <c r="R34" i="1"/>
  <c r="K34" i="1"/>
  <c r="K30" i="1"/>
  <c r="R30" i="1"/>
  <c r="R24" i="1"/>
  <c r="I24" i="1"/>
  <c r="R37" i="1"/>
  <c r="K37" i="1"/>
  <c r="R32" i="1"/>
  <c r="K32" i="1"/>
  <c r="R38" i="1"/>
  <c r="K38" i="1"/>
  <c r="K42" i="1"/>
  <c r="R42" i="1"/>
  <c r="R26" i="1"/>
  <c r="I26" i="1"/>
  <c r="R39" i="1"/>
  <c r="K39" i="1"/>
  <c r="I31" i="1"/>
  <c r="E11" i="2"/>
  <c r="H23" i="1"/>
  <c r="K35" i="1"/>
  <c r="R28" i="1"/>
  <c r="R41" i="1"/>
  <c r="I36" i="1"/>
  <c r="G44" i="1"/>
  <c r="E33" i="1"/>
  <c r="F33" i="1"/>
  <c r="G33" i="1"/>
  <c r="R44" i="1"/>
  <c r="K44" i="1"/>
  <c r="E25" i="2"/>
  <c r="R33" i="1"/>
  <c r="K33" i="1"/>
  <c r="R19" i="1"/>
  <c r="E18" i="1"/>
  <c r="D12" i="1"/>
  <c r="D11" i="1"/>
  <c r="C12" i="1"/>
  <c r="C16" i="1" l="1"/>
  <c r="D18" i="1" s="1"/>
  <c r="P36" i="1"/>
  <c r="P28" i="1"/>
  <c r="P26" i="1"/>
  <c r="P25" i="1"/>
  <c r="P43" i="1"/>
  <c r="P32" i="1"/>
  <c r="P42" i="1"/>
  <c r="P22" i="1"/>
  <c r="P38" i="1"/>
  <c r="P31" i="1"/>
  <c r="P33" i="1"/>
  <c r="P39" i="1"/>
  <c r="P40" i="1"/>
  <c r="P21" i="1"/>
  <c r="P29" i="1"/>
  <c r="P23" i="1"/>
  <c r="P30" i="1"/>
  <c r="P41" i="1"/>
  <c r="P27" i="1"/>
  <c r="P44" i="1"/>
  <c r="P35" i="1"/>
  <c r="P34" i="1"/>
  <c r="P24" i="1"/>
  <c r="D15" i="1"/>
  <c r="C19" i="1" s="1"/>
  <c r="P37" i="1"/>
  <c r="D16" i="1"/>
  <c r="D19" i="1" s="1"/>
  <c r="C11" i="1"/>
  <c r="O37" i="1" l="1"/>
  <c r="O29" i="1"/>
  <c r="O23" i="1"/>
  <c r="O44" i="1"/>
  <c r="O28" i="1"/>
  <c r="O43" i="1"/>
  <c r="O24" i="1"/>
  <c r="O32" i="1"/>
  <c r="O36" i="1"/>
  <c r="O33" i="1"/>
  <c r="O26" i="1"/>
  <c r="O34" i="1"/>
  <c r="O21" i="1"/>
  <c r="O41" i="1"/>
  <c r="O27" i="1"/>
  <c r="O42" i="1"/>
  <c r="O39" i="1"/>
  <c r="O30" i="1"/>
  <c r="O31" i="1"/>
  <c r="C15" i="1"/>
  <c r="O22" i="1"/>
  <c r="O38" i="1"/>
  <c r="O35" i="1"/>
  <c r="O25" i="1"/>
  <c r="O40" i="1"/>
  <c r="C18" i="1" l="1"/>
  <c r="F14" i="1"/>
  <c r="F15" i="1" s="1"/>
</calcChain>
</file>

<file path=xl/sharedStrings.xml><?xml version="1.0" encoding="utf-8"?>
<sst xmlns="http://schemas.openxmlformats.org/spreadsheetml/2006/main" count="250" uniqueCount="160">
  <si>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</si>
  <si>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</si>
  <si>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</si>
  <si>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</si>
  <si>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</si>
  <si>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</si>
  <si>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</si>
  <si>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</si>
  <si>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</si>
  <si>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</si>
  <si>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</si>
  <si>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</si>
  <si>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</si>
  <si>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</si>
  <si>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</si>
  <si>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</si>
  <si>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</si>
  <si>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</si>
  <si>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Linear</t>
  </si>
  <si>
    <t>Quadratic</t>
  </si>
  <si>
    <t>System Type:</t>
  </si>
  <si>
    <t>S4</t>
  </si>
  <si>
    <t>S5</t>
  </si>
  <si>
    <t>Misc</t>
  </si>
  <si>
    <t>Diethelm R</t>
  </si>
  <si>
    <t>BBSAG Bull...31</t>
  </si>
  <si>
    <t>B</t>
  </si>
  <si>
    <t>Locher K</t>
  </si>
  <si>
    <t>BBSAG Bull.94</t>
  </si>
  <si>
    <t>BBSAG Bull.99</t>
  </si>
  <si>
    <t>BBSAG Bull.109</t>
  </si>
  <si>
    <t>BBSAG Bull.113</t>
  </si>
  <si>
    <t>Eccentric orbit?</t>
  </si>
  <si>
    <t>IBVS 4888</t>
  </si>
  <si>
    <t>IBVS 5543</t>
  </si>
  <si>
    <t>I</t>
  </si>
  <si>
    <t>EA/SD</t>
  </si>
  <si>
    <t>IBVS 5676</t>
  </si>
  <si>
    <t>Sec.Fit</t>
  </si>
  <si>
    <t>Pim.Fit</t>
  </si>
  <si>
    <t>Primary</t>
  </si>
  <si>
    <t>Secondary</t>
  </si>
  <si>
    <t>Prim. Ephemeris =</t>
  </si>
  <si>
    <t>Sec. Ephemeris =</t>
  </si>
  <si>
    <t># of data points:</t>
  </si>
  <si>
    <t>WX Dra / gsc 3544-1815</t>
  </si>
  <si>
    <t>IBVS 6007</t>
  </si>
  <si>
    <t>IBVS 6010</t>
  </si>
  <si>
    <t>OEJV 0003</t>
  </si>
  <si>
    <t>OEJV 0107</t>
  </si>
  <si>
    <t>IBVS 6048</t>
  </si>
  <si>
    <t>II</t>
  </si>
  <si>
    <t>IBVS 6070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</si>
  <si>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</si>
  <si>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</si>
  <si>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</si>
  <si>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</si>
  <si>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</si>
  <si>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</si>
  <si>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</si>
  <si>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</si>
  <si>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</si>
  <si>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</si>
  <si>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</si>
  <si>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</si>
  <si>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</si>
  <si>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</si>
  <si>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</si>
  <si>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</si>
  <si>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</si>
  <si>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</si>
  <si>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</si>
  <si>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</si>
  <si>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</si>
  <si>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</si>
  <si>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2447942.701 </t>
  </si>
  <si>
    <t> 20.02.1990 04:49 </t>
  </si>
  <si>
    <t> 0.006 </t>
  </si>
  <si>
    <t>V </t>
  </si>
  <si>
    <t> K.Locher </t>
  </si>
  <si>
    <t> BBS 94 </t>
  </si>
  <si>
    <t>2448508.498 </t>
  </si>
  <si>
    <t> 08.09.1991 23:57 </t>
  </si>
  <si>
    <t> 0.018 </t>
  </si>
  <si>
    <t> BBS 99 </t>
  </si>
  <si>
    <t>2449836.472 </t>
  </si>
  <si>
    <t> 28.04.1995 23:19 </t>
  </si>
  <si>
    <t> 0.017 </t>
  </si>
  <si>
    <t> BBS 109 </t>
  </si>
  <si>
    <t>2450337.3879 </t>
  </si>
  <si>
    <t> 10.09.1996 21:18 </t>
  </si>
  <si>
    <t> 0.0148 </t>
  </si>
  <si>
    <t>E </t>
  </si>
  <si>
    <t>?</t>
  </si>
  <si>
    <t> R.Diethelm </t>
  </si>
  <si>
    <t> BBS 113 </t>
  </si>
  <si>
    <t>2450899.5695 </t>
  </si>
  <si>
    <t> 27.03.1998 01:40 </t>
  </si>
  <si>
    <t> 0.0146 </t>
  </si>
  <si>
    <t> J.Safar </t>
  </si>
  <si>
    <t>IBVS 4888 </t>
  </si>
  <si>
    <t>2451045.5211 </t>
  </si>
  <si>
    <t> 20.08.1998 00:30 </t>
  </si>
  <si>
    <t> 0.0152 </t>
  </si>
  <si>
    <t> M.Zejda </t>
  </si>
  <si>
    <t>2452000.5090 </t>
  </si>
  <si>
    <t> 01.04.2001 00:12 </t>
  </si>
  <si>
    <t> BBS 125 </t>
  </si>
  <si>
    <t>2452829.3687 </t>
  </si>
  <si>
    <t> 08.07.2003 20:50 </t>
  </si>
  <si>
    <t> 0.0167 </t>
  </si>
  <si>
    <t> L.Kotková &amp; M.Wolf </t>
  </si>
  <si>
    <t>IBVS 5676 </t>
  </si>
  <si>
    <t>2453081.6301 </t>
  </si>
  <si>
    <t> 17.03.2004 03:07 </t>
  </si>
  <si>
    <t> 0.0171 </t>
  </si>
  <si>
    <t>2453137.480 </t>
  </si>
  <si>
    <t> 11.05.2004 23:31 </t>
  </si>
  <si>
    <t> 0.009 </t>
  </si>
  <si>
    <t> BBS 130 </t>
  </si>
  <si>
    <t>2453256.410 </t>
  </si>
  <si>
    <t> 07.09.2004 21:50 </t>
  </si>
  <si>
    <t> 0.016 </t>
  </si>
  <si>
    <t>OEJV 0003 </t>
  </si>
  <si>
    <t>2453818.5946 </t>
  </si>
  <si>
    <t> 24.03.2006 02:16 </t>
  </si>
  <si>
    <t> 0.0189 </t>
  </si>
  <si>
    <t>C </t>
  </si>
  <si>
    <t>R</t>
  </si>
  <si>
    <t> M.Lehky </t>
  </si>
  <si>
    <t>OEJV 0107 </t>
  </si>
  <si>
    <t>2455456.49117 </t>
  </si>
  <si>
    <t> 16.09.2010 23:47 </t>
  </si>
  <si>
    <t> 0.02046 </t>
  </si>
  <si>
    <t> P.Zasche </t>
  </si>
  <si>
    <t>IBVS 6007 </t>
  </si>
  <si>
    <t>2455674.5172 </t>
  </si>
  <si>
    <t> 23.04.2011 00:24 </t>
  </si>
  <si>
    <t> 0.0209 </t>
  </si>
  <si>
    <t>-I</t>
  </si>
  <si>
    <t> F.Agerer </t>
  </si>
  <si>
    <t>BAVM 220 </t>
  </si>
  <si>
    <t>2455867.3164 </t>
  </si>
  <si>
    <t> 01.11.2011 19:35 </t>
  </si>
  <si>
    <t>5936</t>
  </si>
  <si>
    <t> 0.0205 </t>
  </si>
  <si>
    <t>o</t>
  </si>
  <si>
    <t> U.Schmidt </t>
  </si>
  <si>
    <t>BAVM 225 </t>
  </si>
  <si>
    <t>2456075.4308 </t>
  </si>
  <si>
    <t> 27.05.2012 22:20 </t>
  </si>
  <si>
    <t>6051.5</t>
  </si>
  <si>
    <t> 0.0196 </t>
  </si>
  <si>
    <t>BAVM 228 </t>
  </si>
  <si>
    <t>2456157.4151 </t>
  </si>
  <si>
    <t> 17.08.2012 21:57 </t>
  </si>
  <si>
    <t>6097</t>
  </si>
  <si>
    <t> 0.0190 </t>
  </si>
  <si>
    <t>BAVM 231 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</si>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</sst>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2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9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" borderId="16" xfId="0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19" fillId="2" borderId="16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8" applyFont="1" applyAlignment="1">
      <alignment vertical="center"/>
    </xf>
    <xf numFmtId="0" fontId="15" fillId="0" borderId="0" xfId="8" applyFont="1" applyAlignment="1">
      <alignment horizontal="center" vertical="center"/>
    </xf>
    <xf numFmtId="0" fontId="15" fillId="0" borderId="0" xfId="8" applyFont="1" applyAlignment="1">
      <alignment horizontal="left" vertical="center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Dra - O-C Diagr.</a:t>
            </a:r>
          </a:p>
        </c:rich>
      </c:tx>
      <c:layout>
        <c:manualLayout>
          <c:xMode val="edge"/>
          <c:yMode val="edge"/>
          <c:x val="0.3409095247391596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4723926380368099"/>
          <c:w val="0.7727280522905357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-2239.5</c:v>
                </c:pt>
                <c:pt idx="1">
                  <c:v>-2229.5</c:v>
                </c:pt>
                <c:pt idx="2">
                  <c:v>0</c:v>
                </c:pt>
                <c:pt idx="3">
                  <c:v>1538</c:v>
                </c:pt>
                <c:pt idx="4">
                  <c:v>1852</c:v>
                </c:pt>
                <c:pt idx="5">
                  <c:v>2589</c:v>
                </c:pt>
                <c:pt idx="6">
                  <c:v>2867</c:v>
                </c:pt>
                <c:pt idx="7">
                  <c:v>2867</c:v>
                </c:pt>
                <c:pt idx="8">
                  <c:v>3179</c:v>
                </c:pt>
                <c:pt idx="9">
                  <c:v>3260</c:v>
                </c:pt>
                <c:pt idx="10">
                  <c:v>3790</c:v>
                </c:pt>
                <c:pt idx="11">
                  <c:v>4250</c:v>
                </c:pt>
                <c:pt idx="12">
                  <c:v>4390</c:v>
                </c:pt>
                <c:pt idx="13">
                  <c:v>4390</c:v>
                </c:pt>
                <c:pt idx="14">
                  <c:v>4421</c:v>
                </c:pt>
                <c:pt idx="15">
                  <c:v>4487</c:v>
                </c:pt>
                <c:pt idx="16">
                  <c:v>4799</c:v>
                </c:pt>
                <c:pt idx="17">
                  <c:v>4799</c:v>
                </c:pt>
                <c:pt idx="18">
                  <c:v>5708</c:v>
                </c:pt>
                <c:pt idx="19">
                  <c:v>5829</c:v>
                </c:pt>
                <c:pt idx="20">
                  <c:v>5936</c:v>
                </c:pt>
                <c:pt idx="21">
                  <c:v>6051.5</c:v>
                </c:pt>
                <c:pt idx="22">
                  <c:v>6097</c:v>
                </c:pt>
                <c:pt idx="23">
                  <c:v>7025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C-4569-A2E1-ADFF4A254A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-2239.5</c:v>
                </c:pt>
                <c:pt idx="1">
                  <c:v>-2229.5</c:v>
                </c:pt>
                <c:pt idx="2">
                  <c:v>0</c:v>
                </c:pt>
                <c:pt idx="3">
                  <c:v>1538</c:v>
                </c:pt>
                <c:pt idx="4">
                  <c:v>1852</c:v>
                </c:pt>
                <c:pt idx="5">
                  <c:v>2589</c:v>
                </c:pt>
                <c:pt idx="6">
                  <c:v>2867</c:v>
                </c:pt>
                <c:pt idx="7">
                  <c:v>2867</c:v>
                </c:pt>
                <c:pt idx="8">
                  <c:v>3179</c:v>
                </c:pt>
                <c:pt idx="9">
                  <c:v>3260</c:v>
                </c:pt>
                <c:pt idx="10">
                  <c:v>3790</c:v>
                </c:pt>
                <c:pt idx="11">
                  <c:v>4250</c:v>
                </c:pt>
                <c:pt idx="12">
                  <c:v>4390</c:v>
                </c:pt>
                <c:pt idx="13">
                  <c:v>4390</c:v>
                </c:pt>
                <c:pt idx="14">
                  <c:v>4421</c:v>
                </c:pt>
                <c:pt idx="15">
                  <c:v>4487</c:v>
                </c:pt>
                <c:pt idx="16">
                  <c:v>4799</c:v>
                </c:pt>
                <c:pt idx="17">
                  <c:v>4799</c:v>
                </c:pt>
                <c:pt idx="18">
                  <c:v>5708</c:v>
                </c:pt>
                <c:pt idx="19">
                  <c:v>5829</c:v>
                </c:pt>
                <c:pt idx="20">
                  <c:v>5936</c:v>
                </c:pt>
                <c:pt idx="21">
                  <c:v>6051.5</c:v>
                </c:pt>
                <c:pt idx="22">
                  <c:v>6097</c:v>
                </c:pt>
                <c:pt idx="23">
                  <c:v>7025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0.34699564999755239</c:v>
                </c:pt>
                <c:pt idx="1">
                  <c:v>0.36534864999703132</c:v>
                </c:pt>
                <c:pt idx="3">
                  <c:v>6.0913999986951239E-3</c:v>
                </c:pt>
                <c:pt idx="4">
                  <c:v>1.7575599995325319E-2</c:v>
                </c:pt>
                <c:pt idx="5">
                  <c:v>1.7291699994530063E-2</c:v>
                </c:pt>
                <c:pt idx="6">
                  <c:v>1.3905100000556558E-2</c:v>
                </c:pt>
                <c:pt idx="10">
                  <c:v>1.4786999992793426E-2</c:v>
                </c:pt>
                <c:pt idx="15">
                  <c:v>1.6091099998448044E-2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5C-4569-A2E1-ADFF4A254A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-2239.5</c:v>
                </c:pt>
                <c:pt idx="1">
                  <c:v>-2229.5</c:v>
                </c:pt>
                <c:pt idx="2">
                  <c:v>0</c:v>
                </c:pt>
                <c:pt idx="3">
                  <c:v>1538</c:v>
                </c:pt>
                <c:pt idx="4">
                  <c:v>1852</c:v>
                </c:pt>
                <c:pt idx="5">
                  <c:v>2589</c:v>
                </c:pt>
                <c:pt idx="6">
                  <c:v>2867</c:v>
                </c:pt>
                <c:pt idx="7">
                  <c:v>2867</c:v>
                </c:pt>
                <c:pt idx="8">
                  <c:v>3179</c:v>
                </c:pt>
                <c:pt idx="9">
                  <c:v>3260</c:v>
                </c:pt>
                <c:pt idx="10">
                  <c:v>3790</c:v>
                </c:pt>
                <c:pt idx="11">
                  <c:v>4250</c:v>
                </c:pt>
                <c:pt idx="12">
                  <c:v>4390</c:v>
                </c:pt>
                <c:pt idx="13">
                  <c:v>4390</c:v>
                </c:pt>
                <c:pt idx="14">
                  <c:v>4421</c:v>
                </c:pt>
                <c:pt idx="15">
                  <c:v>4487</c:v>
                </c:pt>
                <c:pt idx="16">
                  <c:v>4799</c:v>
                </c:pt>
                <c:pt idx="17">
                  <c:v>4799</c:v>
                </c:pt>
                <c:pt idx="18">
                  <c:v>5708</c:v>
                </c:pt>
                <c:pt idx="19">
                  <c:v>5829</c:v>
                </c:pt>
                <c:pt idx="20">
                  <c:v>5936</c:v>
                </c:pt>
                <c:pt idx="21">
                  <c:v>6051.5</c:v>
                </c:pt>
                <c:pt idx="22">
                  <c:v>6097</c:v>
                </c:pt>
                <c:pt idx="23">
                  <c:v>7025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">
                  <c:v>1.4805099999648519E-2</c:v>
                </c:pt>
                <c:pt idx="19">
                  <c:v>2.0863699995970819E-2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5C-4569-A2E1-ADFF4A254A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-2239.5</c:v>
                </c:pt>
                <c:pt idx="1">
                  <c:v>-2229.5</c:v>
                </c:pt>
                <c:pt idx="2">
                  <c:v>0</c:v>
                </c:pt>
                <c:pt idx="3">
                  <c:v>1538</c:v>
                </c:pt>
                <c:pt idx="4">
                  <c:v>1852</c:v>
                </c:pt>
                <c:pt idx="5">
                  <c:v>2589</c:v>
                </c:pt>
                <c:pt idx="6">
                  <c:v>2867</c:v>
                </c:pt>
                <c:pt idx="7">
                  <c:v>2867</c:v>
                </c:pt>
                <c:pt idx="8">
                  <c:v>3179</c:v>
                </c:pt>
                <c:pt idx="9">
                  <c:v>3260</c:v>
                </c:pt>
                <c:pt idx="10">
                  <c:v>3790</c:v>
                </c:pt>
                <c:pt idx="11">
                  <c:v>4250</c:v>
                </c:pt>
                <c:pt idx="12">
                  <c:v>4390</c:v>
                </c:pt>
                <c:pt idx="13">
                  <c:v>4390</c:v>
                </c:pt>
                <c:pt idx="14">
                  <c:v>4421</c:v>
                </c:pt>
                <c:pt idx="15">
                  <c:v>4487</c:v>
                </c:pt>
                <c:pt idx="16">
                  <c:v>4799</c:v>
                </c:pt>
                <c:pt idx="17">
                  <c:v>4799</c:v>
                </c:pt>
                <c:pt idx="18">
                  <c:v>5708</c:v>
                </c:pt>
                <c:pt idx="19">
                  <c:v>5829</c:v>
                </c:pt>
                <c:pt idx="20">
                  <c:v>5936</c:v>
                </c:pt>
                <c:pt idx="21">
                  <c:v>6051.5</c:v>
                </c:pt>
                <c:pt idx="22">
                  <c:v>6097</c:v>
                </c:pt>
                <c:pt idx="23">
                  <c:v>7025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">
                  <c:v>1.4618699991842732E-2</c:v>
                </c:pt>
                <c:pt idx="9">
                  <c:v>1.5177999994193669E-2</c:v>
                </c:pt>
                <c:pt idx="11">
                  <c:v>1.6724999994039536E-2</c:v>
                </c:pt>
                <c:pt idx="12">
                  <c:v>1.70670000006794E-2</c:v>
                </c:pt>
                <c:pt idx="13">
                  <c:v>1.7096999996283557E-2</c:v>
                </c:pt>
                <c:pt idx="14">
                  <c:v>9.1612999967765063E-3</c:v>
                </c:pt>
                <c:pt idx="16">
                  <c:v>1.8904699994891416E-2</c:v>
                </c:pt>
                <c:pt idx="17">
                  <c:v>1.8944700001156889E-2</c:v>
                </c:pt>
                <c:pt idx="18">
                  <c:v>2.0462399996176828E-2</c:v>
                </c:pt>
                <c:pt idx="20">
                  <c:v>2.0540799996524584E-2</c:v>
                </c:pt>
                <c:pt idx="21">
                  <c:v>1.956794999568956E-2</c:v>
                </c:pt>
                <c:pt idx="22">
                  <c:v>1.9024099994567223E-2</c:v>
                </c:pt>
                <c:pt idx="23">
                  <c:v>1.6412499993748497E-2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5C-4569-A2E1-ADFF4A254A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-2239.5</c:v>
                </c:pt>
                <c:pt idx="1">
                  <c:v>-2229.5</c:v>
                </c:pt>
                <c:pt idx="2">
                  <c:v>0</c:v>
                </c:pt>
                <c:pt idx="3">
                  <c:v>1538</c:v>
                </c:pt>
                <c:pt idx="4">
                  <c:v>1852</c:v>
                </c:pt>
                <c:pt idx="5">
                  <c:v>2589</c:v>
                </c:pt>
                <c:pt idx="6">
                  <c:v>2867</c:v>
                </c:pt>
                <c:pt idx="7">
                  <c:v>2867</c:v>
                </c:pt>
                <c:pt idx="8">
                  <c:v>3179</c:v>
                </c:pt>
                <c:pt idx="9">
                  <c:v>3260</c:v>
                </c:pt>
                <c:pt idx="10">
                  <c:v>3790</c:v>
                </c:pt>
                <c:pt idx="11">
                  <c:v>4250</c:v>
                </c:pt>
                <c:pt idx="12">
                  <c:v>4390</c:v>
                </c:pt>
                <c:pt idx="13">
                  <c:v>4390</c:v>
                </c:pt>
                <c:pt idx="14">
                  <c:v>4421</c:v>
                </c:pt>
                <c:pt idx="15">
                  <c:v>4487</c:v>
                </c:pt>
                <c:pt idx="16">
                  <c:v>4799</c:v>
                </c:pt>
                <c:pt idx="17">
                  <c:v>4799</c:v>
                </c:pt>
                <c:pt idx="18">
                  <c:v>5708</c:v>
                </c:pt>
                <c:pt idx="19">
                  <c:v>5829</c:v>
                </c:pt>
                <c:pt idx="20">
                  <c:v>5936</c:v>
                </c:pt>
                <c:pt idx="21">
                  <c:v>6051.5</c:v>
                </c:pt>
                <c:pt idx="22">
                  <c:v>6097</c:v>
                </c:pt>
                <c:pt idx="23">
                  <c:v>7025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5C-4569-A2E1-ADFF4A254A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-2239.5</c:v>
                </c:pt>
                <c:pt idx="1">
                  <c:v>-2229.5</c:v>
                </c:pt>
                <c:pt idx="2">
                  <c:v>0</c:v>
                </c:pt>
                <c:pt idx="3">
                  <c:v>1538</c:v>
                </c:pt>
                <c:pt idx="4">
                  <c:v>1852</c:v>
                </c:pt>
                <c:pt idx="5">
                  <c:v>2589</c:v>
                </c:pt>
                <c:pt idx="6">
                  <c:v>2867</c:v>
                </c:pt>
                <c:pt idx="7">
                  <c:v>2867</c:v>
                </c:pt>
                <c:pt idx="8">
                  <c:v>3179</c:v>
                </c:pt>
                <c:pt idx="9">
                  <c:v>3260</c:v>
                </c:pt>
                <c:pt idx="10">
                  <c:v>3790</c:v>
                </c:pt>
                <c:pt idx="11">
                  <c:v>4250</c:v>
                </c:pt>
                <c:pt idx="12">
                  <c:v>4390</c:v>
                </c:pt>
                <c:pt idx="13">
                  <c:v>4390</c:v>
                </c:pt>
                <c:pt idx="14">
                  <c:v>4421</c:v>
                </c:pt>
                <c:pt idx="15">
                  <c:v>4487</c:v>
                </c:pt>
                <c:pt idx="16">
                  <c:v>4799</c:v>
                </c:pt>
                <c:pt idx="17">
                  <c:v>4799</c:v>
                </c:pt>
                <c:pt idx="18">
                  <c:v>5708</c:v>
                </c:pt>
                <c:pt idx="19">
                  <c:v>5829</c:v>
                </c:pt>
                <c:pt idx="20">
                  <c:v>5936</c:v>
                </c:pt>
                <c:pt idx="21">
                  <c:v>6051.5</c:v>
                </c:pt>
                <c:pt idx="22">
                  <c:v>6097</c:v>
                </c:pt>
                <c:pt idx="23">
                  <c:v>7025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5C-4569-A2E1-ADFF4A254A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-2239.5</c:v>
                </c:pt>
                <c:pt idx="1">
                  <c:v>-2229.5</c:v>
                </c:pt>
                <c:pt idx="2">
                  <c:v>0</c:v>
                </c:pt>
                <c:pt idx="3">
                  <c:v>1538</c:v>
                </c:pt>
                <c:pt idx="4">
                  <c:v>1852</c:v>
                </c:pt>
                <c:pt idx="5">
                  <c:v>2589</c:v>
                </c:pt>
                <c:pt idx="6">
                  <c:v>2867</c:v>
                </c:pt>
                <c:pt idx="7">
                  <c:v>2867</c:v>
                </c:pt>
                <c:pt idx="8">
                  <c:v>3179</c:v>
                </c:pt>
                <c:pt idx="9">
                  <c:v>3260</c:v>
                </c:pt>
                <c:pt idx="10">
                  <c:v>3790</c:v>
                </c:pt>
                <c:pt idx="11">
                  <c:v>4250</c:v>
                </c:pt>
                <c:pt idx="12">
                  <c:v>4390</c:v>
                </c:pt>
                <c:pt idx="13">
                  <c:v>4390</c:v>
                </c:pt>
                <c:pt idx="14">
                  <c:v>4421</c:v>
                </c:pt>
                <c:pt idx="15">
                  <c:v>4487</c:v>
                </c:pt>
                <c:pt idx="16">
                  <c:v>4799</c:v>
                </c:pt>
                <c:pt idx="17">
                  <c:v>4799</c:v>
                </c:pt>
                <c:pt idx="18">
                  <c:v>5708</c:v>
                </c:pt>
                <c:pt idx="19">
                  <c:v>5829</c:v>
                </c:pt>
                <c:pt idx="20">
                  <c:v>5936</c:v>
                </c:pt>
                <c:pt idx="21">
                  <c:v>6051.5</c:v>
                </c:pt>
                <c:pt idx="22">
                  <c:v>6097</c:v>
                </c:pt>
                <c:pt idx="23">
                  <c:v>7025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5C-4569-A2E1-ADFF4A254A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-2239.5</c:v>
                </c:pt>
                <c:pt idx="1">
                  <c:v>-2229.5</c:v>
                </c:pt>
                <c:pt idx="2">
                  <c:v>0</c:v>
                </c:pt>
                <c:pt idx="3">
                  <c:v>1538</c:v>
                </c:pt>
                <c:pt idx="4">
                  <c:v>1852</c:v>
                </c:pt>
                <c:pt idx="5">
                  <c:v>2589</c:v>
                </c:pt>
                <c:pt idx="6">
                  <c:v>2867</c:v>
                </c:pt>
                <c:pt idx="7">
                  <c:v>2867</c:v>
                </c:pt>
                <c:pt idx="8">
                  <c:v>3179</c:v>
                </c:pt>
                <c:pt idx="9">
                  <c:v>3260</c:v>
                </c:pt>
                <c:pt idx="10">
                  <c:v>3790</c:v>
                </c:pt>
                <c:pt idx="11">
                  <c:v>4250</c:v>
                </c:pt>
                <c:pt idx="12">
                  <c:v>4390</c:v>
                </c:pt>
                <c:pt idx="13">
                  <c:v>4390</c:v>
                </c:pt>
                <c:pt idx="14">
                  <c:v>4421</c:v>
                </c:pt>
                <c:pt idx="15">
                  <c:v>4487</c:v>
                </c:pt>
                <c:pt idx="16">
                  <c:v>4799</c:v>
                </c:pt>
                <c:pt idx="17">
                  <c:v>4799</c:v>
                </c:pt>
                <c:pt idx="18">
                  <c:v>5708</c:v>
                </c:pt>
                <c:pt idx="19">
                  <c:v>5829</c:v>
                </c:pt>
                <c:pt idx="20">
                  <c:v>5936</c:v>
                </c:pt>
                <c:pt idx="21">
                  <c:v>6051.5</c:v>
                </c:pt>
                <c:pt idx="22">
                  <c:v>6097</c:v>
                </c:pt>
                <c:pt idx="23">
                  <c:v>7025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2.1560720402484775E-3</c:v>
                </c:pt>
                <c:pt idx="1">
                  <c:v>2.1774275026650953E-3</c:v>
                </c:pt>
                <c:pt idx="2">
                  <c:v>6.9386278484498808E-3</c:v>
                </c:pt>
                <c:pt idx="3">
                  <c:v>1.0223097968125594E-2</c:v>
                </c:pt>
                <c:pt idx="4">
                  <c:v>1.0893659488007371E-2</c:v>
                </c:pt>
                <c:pt idx="5">
                  <c:v>1.2467557068112051E-2</c:v>
                </c:pt>
                <c:pt idx="6">
                  <c:v>1.3061238923294007E-2</c:v>
                </c:pt>
                <c:pt idx="7">
                  <c:v>1.3061238923294007E-2</c:v>
                </c:pt>
                <c:pt idx="8">
                  <c:v>1.3727529350692462E-2</c:v>
                </c:pt>
                <c:pt idx="9">
                  <c:v>1.3900508596267061E-2</c:v>
                </c:pt>
                <c:pt idx="10">
                  <c:v>1.5032348104347767E-2</c:v>
                </c:pt>
                <c:pt idx="11">
                  <c:v>1.6014699375512156E-2</c:v>
                </c:pt>
                <c:pt idx="12">
                  <c:v>1.6313675849344796E-2</c:v>
                </c:pt>
                <c:pt idx="13">
                  <c:v>1.6313675849344796E-2</c:v>
                </c:pt>
                <c:pt idx="14">
                  <c:v>1.6379877782836307E-2</c:v>
                </c:pt>
                <c:pt idx="15">
                  <c:v>1.652082383478598E-2</c:v>
                </c:pt>
                <c:pt idx="16">
                  <c:v>1.7187114262184434E-2</c:v>
                </c:pt>
                <c:pt idx="17">
                  <c:v>1.7187114262184434E-2</c:v>
                </c:pt>
                <c:pt idx="18">
                  <c:v>1.9128325795854932E-2</c:v>
                </c:pt>
                <c:pt idx="19">
                  <c:v>1.9386726891095996E-2</c:v>
                </c:pt>
                <c:pt idx="20">
                  <c:v>1.96152303389538E-2</c:v>
                </c:pt>
                <c:pt idx="21">
                  <c:v>1.9861885929865729E-2</c:v>
                </c:pt>
                <c:pt idx="22">
                  <c:v>1.9959053283861335E-2</c:v>
                </c:pt>
                <c:pt idx="23">
                  <c:v>2.1940840196123405E-2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5C-4569-A2E1-ADFF4A254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316568"/>
        <c:axId val="1"/>
      </c:scatterChart>
      <c:valAx>
        <c:axId val="403316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316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96694214876033"/>
          <c:y val="0.92024539877300615"/>
          <c:w val="0.8677685950413223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Dra - Primary O-C Diagr.</a:t>
            </a:r>
          </a:p>
        </c:rich>
      </c:tx>
      <c:layout>
        <c:manualLayout>
          <c:xMode val="edge"/>
          <c:yMode val="edge"/>
          <c:x val="0.29850746268656714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9701492537312"/>
          <c:y val="0.15335487182207191"/>
          <c:w val="0.81343283582089554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-2239.5</c:v>
                </c:pt>
                <c:pt idx="1">
                  <c:v>-2229.5</c:v>
                </c:pt>
                <c:pt idx="2">
                  <c:v>0</c:v>
                </c:pt>
                <c:pt idx="3">
                  <c:v>1538</c:v>
                </c:pt>
                <c:pt idx="4">
                  <c:v>1852</c:v>
                </c:pt>
                <c:pt idx="5">
                  <c:v>2589</c:v>
                </c:pt>
                <c:pt idx="6">
                  <c:v>2867</c:v>
                </c:pt>
                <c:pt idx="7">
                  <c:v>2867</c:v>
                </c:pt>
                <c:pt idx="8">
                  <c:v>3179</c:v>
                </c:pt>
                <c:pt idx="9">
                  <c:v>3260</c:v>
                </c:pt>
                <c:pt idx="10">
                  <c:v>3790</c:v>
                </c:pt>
                <c:pt idx="11">
                  <c:v>4250</c:v>
                </c:pt>
                <c:pt idx="12">
                  <c:v>4390</c:v>
                </c:pt>
                <c:pt idx="13">
                  <c:v>4390</c:v>
                </c:pt>
                <c:pt idx="14">
                  <c:v>4421</c:v>
                </c:pt>
                <c:pt idx="15">
                  <c:v>4487</c:v>
                </c:pt>
                <c:pt idx="16">
                  <c:v>4799</c:v>
                </c:pt>
                <c:pt idx="17">
                  <c:v>4799</c:v>
                </c:pt>
                <c:pt idx="18">
                  <c:v>5708</c:v>
                </c:pt>
                <c:pt idx="19">
                  <c:v>5829</c:v>
                </c:pt>
                <c:pt idx="20">
                  <c:v>5936</c:v>
                </c:pt>
                <c:pt idx="21">
                  <c:v>6051.5</c:v>
                </c:pt>
                <c:pt idx="22">
                  <c:v>6097</c:v>
                </c:pt>
                <c:pt idx="23">
                  <c:v>7025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BE-4B86-A875-CE066A6039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-2239.5</c:v>
                </c:pt>
                <c:pt idx="1">
                  <c:v>-2229.5</c:v>
                </c:pt>
                <c:pt idx="2">
                  <c:v>0</c:v>
                </c:pt>
                <c:pt idx="3">
                  <c:v>1538</c:v>
                </c:pt>
                <c:pt idx="4">
                  <c:v>1852</c:v>
                </c:pt>
                <c:pt idx="5">
                  <c:v>2589</c:v>
                </c:pt>
                <c:pt idx="6">
                  <c:v>2867</c:v>
                </c:pt>
                <c:pt idx="7">
                  <c:v>2867</c:v>
                </c:pt>
                <c:pt idx="8">
                  <c:v>3179</c:v>
                </c:pt>
                <c:pt idx="9">
                  <c:v>3260</c:v>
                </c:pt>
                <c:pt idx="10">
                  <c:v>3790</c:v>
                </c:pt>
                <c:pt idx="11">
                  <c:v>4250</c:v>
                </c:pt>
                <c:pt idx="12">
                  <c:v>4390</c:v>
                </c:pt>
                <c:pt idx="13">
                  <c:v>4390</c:v>
                </c:pt>
                <c:pt idx="14">
                  <c:v>4421</c:v>
                </c:pt>
                <c:pt idx="15">
                  <c:v>4487</c:v>
                </c:pt>
                <c:pt idx="16">
                  <c:v>4799</c:v>
                </c:pt>
                <c:pt idx="17">
                  <c:v>4799</c:v>
                </c:pt>
                <c:pt idx="18">
                  <c:v>5708</c:v>
                </c:pt>
                <c:pt idx="19">
                  <c:v>5829</c:v>
                </c:pt>
                <c:pt idx="20">
                  <c:v>5936</c:v>
                </c:pt>
                <c:pt idx="21">
                  <c:v>6051.5</c:v>
                </c:pt>
                <c:pt idx="22">
                  <c:v>6097</c:v>
                </c:pt>
                <c:pt idx="23">
                  <c:v>7025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0.34699564999755239</c:v>
                </c:pt>
                <c:pt idx="1">
                  <c:v>0.36534864999703132</c:v>
                </c:pt>
                <c:pt idx="3">
                  <c:v>6.0913999986951239E-3</c:v>
                </c:pt>
                <c:pt idx="4">
                  <c:v>1.7575599995325319E-2</c:v>
                </c:pt>
                <c:pt idx="5">
                  <c:v>1.7291699994530063E-2</c:v>
                </c:pt>
                <c:pt idx="6">
                  <c:v>1.3905100000556558E-2</c:v>
                </c:pt>
                <c:pt idx="10">
                  <c:v>1.4786999992793426E-2</c:v>
                </c:pt>
                <c:pt idx="15">
                  <c:v>1.6091099998448044E-2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BE-4B86-A875-CE066A6039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-2239.5</c:v>
                </c:pt>
                <c:pt idx="1">
                  <c:v>-2229.5</c:v>
                </c:pt>
                <c:pt idx="2">
                  <c:v>0</c:v>
                </c:pt>
                <c:pt idx="3">
                  <c:v>1538</c:v>
                </c:pt>
                <c:pt idx="4">
                  <c:v>1852</c:v>
                </c:pt>
                <c:pt idx="5">
                  <c:v>2589</c:v>
                </c:pt>
                <c:pt idx="6">
                  <c:v>2867</c:v>
                </c:pt>
                <c:pt idx="7">
                  <c:v>2867</c:v>
                </c:pt>
                <c:pt idx="8">
                  <c:v>3179</c:v>
                </c:pt>
                <c:pt idx="9">
                  <c:v>3260</c:v>
                </c:pt>
                <c:pt idx="10">
                  <c:v>3790</c:v>
                </c:pt>
                <c:pt idx="11">
                  <c:v>4250</c:v>
                </c:pt>
                <c:pt idx="12">
                  <c:v>4390</c:v>
                </c:pt>
                <c:pt idx="13">
                  <c:v>4390</c:v>
                </c:pt>
                <c:pt idx="14">
                  <c:v>4421</c:v>
                </c:pt>
                <c:pt idx="15">
                  <c:v>4487</c:v>
                </c:pt>
                <c:pt idx="16">
                  <c:v>4799</c:v>
                </c:pt>
                <c:pt idx="17">
                  <c:v>4799</c:v>
                </c:pt>
                <c:pt idx="18">
                  <c:v>5708</c:v>
                </c:pt>
                <c:pt idx="19">
                  <c:v>5829</c:v>
                </c:pt>
                <c:pt idx="20">
                  <c:v>5936</c:v>
                </c:pt>
                <c:pt idx="21">
                  <c:v>6051.5</c:v>
                </c:pt>
                <c:pt idx="22">
                  <c:v>6097</c:v>
                </c:pt>
                <c:pt idx="23">
                  <c:v>7025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">
                  <c:v>1.4805099999648519E-2</c:v>
                </c:pt>
                <c:pt idx="19">
                  <c:v>2.0863699995970819E-2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BE-4B86-A875-CE066A6039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-2239.5</c:v>
                </c:pt>
                <c:pt idx="1">
                  <c:v>-2229.5</c:v>
                </c:pt>
                <c:pt idx="2">
                  <c:v>0</c:v>
                </c:pt>
                <c:pt idx="3">
                  <c:v>1538</c:v>
                </c:pt>
                <c:pt idx="4">
                  <c:v>1852</c:v>
                </c:pt>
                <c:pt idx="5">
                  <c:v>2589</c:v>
                </c:pt>
                <c:pt idx="6">
                  <c:v>2867</c:v>
                </c:pt>
                <c:pt idx="7">
                  <c:v>2867</c:v>
                </c:pt>
                <c:pt idx="8">
                  <c:v>3179</c:v>
                </c:pt>
                <c:pt idx="9">
                  <c:v>3260</c:v>
                </c:pt>
                <c:pt idx="10">
                  <c:v>3790</c:v>
                </c:pt>
                <c:pt idx="11">
                  <c:v>4250</c:v>
                </c:pt>
                <c:pt idx="12">
                  <c:v>4390</c:v>
                </c:pt>
                <c:pt idx="13">
                  <c:v>4390</c:v>
                </c:pt>
                <c:pt idx="14">
                  <c:v>4421</c:v>
                </c:pt>
                <c:pt idx="15">
                  <c:v>4487</c:v>
                </c:pt>
                <c:pt idx="16">
                  <c:v>4799</c:v>
                </c:pt>
                <c:pt idx="17">
                  <c:v>4799</c:v>
                </c:pt>
                <c:pt idx="18">
                  <c:v>5708</c:v>
                </c:pt>
                <c:pt idx="19">
                  <c:v>5829</c:v>
                </c:pt>
                <c:pt idx="20">
                  <c:v>5936</c:v>
                </c:pt>
                <c:pt idx="21">
                  <c:v>6051.5</c:v>
                </c:pt>
                <c:pt idx="22">
                  <c:v>6097</c:v>
                </c:pt>
                <c:pt idx="23">
                  <c:v>7025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">
                  <c:v>1.4618699991842732E-2</c:v>
                </c:pt>
                <c:pt idx="9">
                  <c:v>1.5177999994193669E-2</c:v>
                </c:pt>
                <c:pt idx="11">
                  <c:v>1.6724999994039536E-2</c:v>
                </c:pt>
                <c:pt idx="12">
                  <c:v>1.70670000006794E-2</c:v>
                </c:pt>
                <c:pt idx="13">
                  <c:v>1.7096999996283557E-2</c:v>
                </c:pt>
                <c:pt idx="14">
                  <c:v>9.1612999967765063E-3</c:v>
                </c:pt>
                <c:pt idx="16">
                  <c:v>1.8904699994891416E-2</c:v>
                </c:pt>
                <c:pt idx="17">
                  <c:v>1.8944700001156889E-2</c:v>
                </c:pt>
                <c:pt idx="18">
                  <c:v>2.0462399996176828E-2</c:v>
                </c:pt>
                <c:pt idx="20">
                  <c:v>2.0540799996524584E-2</c:v>
                </c:pt>
                <c:pt idx="21">
                  <c:v>1.956794999568956E-2</c:v>
                </c:pt>
                <c:pt idx="22">
                  <c:v>1.9024099994567223E-2</c:v>
                </c:pt>
                <c:pt idx="23">
                  <c:v>1.6412499993748497E-2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BE-4B86-A875-CE066A6039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-2239.5</c:v>
                </c:pt>
                <c:pt idx="1">
                  <c:v>-2229.5</c:v>
                </c:pt>
                <c:pt idx="2">
                  <c:v>0</c:v>
                </c:pt>
                <c:pt idx="3">
                  <c:v>1538</c:v>
                </c:pt>
                <c:pt idx="4">
                  <c:v>1852</c:v>
                </c:pt>
                <c:pt idx="5">
                  <c:v>2589</c:v>
                </c:pt>
                <c:pt idx="6">
                  <c:v>2867</c:v>
                </c:pt>
                <c:pt idx="7">
                  <c:v>2867</c:v>
                </c:pt>
                <c:pt idx="8">
                  <c:v>3179</c:v>
                </c:pt>
                <c:pt idx="9">
                  <c:v>3260</c:v>
                </c:pt>
                <c:pt idx="10">
                  <c:v>3790</c:v>
                </c:pt>
                <c:pt idx="11">
                  <c:v>4250</c:v>
                </c:pt>
                <c:pt idx="12">
                  <c:v>4390</c:v>
                </c:pt>
                <c:pt idx="13">
                  <c:v>4390</c:v>
                </c:pt>
                <c:pt idx="14">
                  <c:v>4421</c:v>
                </c:pt>
                <c:pt idx="15">
                  <c:v>4487</c:v>
                </c:pt>
                <c:pt idx="16">
                  <c:v>4799</c:v>
                </c:pt>
                <c:pt idx="17">
                  <c:v>4799</c:v>
                </c:pt>
                <c:pt idx="18">
                  <c:v>5708</c:v>
                </c:pt>
                <c:pt idx="19">
                  <c:v>5829</c:v>
                </c:pt>
                <c:pt idx="20">
                  <c:v>5936</c:v>
                </c:pt>
                <c:pt idx="21">
                  <c:v>6051.5</c:v>
                </c:pt>
                <c:pt idx="22">
                  <c:v>6097</c:v>
                </c:pt>
                <c:pt idx="23">
                  <c:v>7025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BE-4B86-A875-CE066A6039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-2239.5</c:v>
                </c:pt>
                <c:pt idx="1">
                  <c:v>-2229.5</c:v>
                </c:pt>
                <c:pt idx="2">
                  <c:v>0</c:v>
                </c:pt>
                <c:pt idx="3">
                  <c:v>1538</c:v>
                </c:pt>
                <c:pt idx="4">
                  <c:v>1852</c:v>
                </c:pt>
                <c:pt idx="5">
                  <c:v>2589</c:v>
                </c:pt>
                <c:pt idx="6">
                  <c:v>2867</c:v>
                </c:pt>
                <c:pt idx="7">
                  <c:v>2867</c:v>
                </c:pt>
                <c:pt idx="8">
                  <c:v>3179</c:v>
                </c:pt>
                <c:pt idx="9">
                  <c:v>3260</c:v>
                </c:pt>
                <c:pt idx="10">
                  <c:v>3790</c:v>
                </c:pt>
                <c:pt idx="11">
                  <c:v>4250</c:v>
                </c:pt>
                <c:pt idx="12">
                  <c:v>4390</c:v>
                </c:pt>
                <c:pt idx="13">
                  <c:v>4390</c:v>
                </c:pt>
                <c:pt idx="14">
                  <c:v>4421</c:v>
                </c:pt>
                <c:pt idx="15">
                  <c:v>4487</c:v>
                </c:pt>
                <c:pt idx="16">
                  <c:v>4799</c:v>
                </c:pt>
                <c:pt idx="17">
                  <c:v>4799</c:v>
                </c:pt>
                <c:pt idx="18">
                  <c:v>5708</c:v>
                </c:pt>
                <c:pt idx="19">
                  <c:v>5829</c:v>
                </c:pt>
                <c:pt idx="20">
                  <c:v>5936</c:v>
                </c:pt>
                <c:pt idx="21">
                  <c:v>6051.5</c:v>
                </c:pt>
                <c:pt idx="22">
                  <c:v>6097</c:v>
                </c:pt>
                <c:pt idx="23">
                  <c:v>7025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BE-4B86-A875-CE066A6039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4">
                    <c:v>3.0000000000000001E-3</c:v>
                  </c:pt>
                  <c:pt idx="5">
                    <c:v>6.0000000000000001E-3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2.5999999999999999E-3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6.0000000000000001E-3</c:v>
                  </c:pt>
                  <c:pt idx="15">
                    <c:v>3.0000000000000001E-3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5.0000000000000002E-5</c:v>
                  </c:pt>
                  <c:pt idx="19">
                    <c:v>1.8E-3</c:v>
                  </c:pt>
                  <c:pt idx="20">
                    <c:v>0</c:v>
                  </c:pt>
                  <c:pt idx="21">
                    <c:v>2.8E-3</c:v>
                  </c:pt>
                  <c:pt idx="22">
                    <c:v>1.1999999999999999E-3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-2239.5</c:v>
                </c:pt>
                <c:pt idx="1">
                  <c:v>-2229.5</c:v>
                </c:pt>
                <c:pt idx="2">
                  <c:v>0</c:v>
                </c:pt>
                <c:pt idx="3">
                  <c:v>1538</c:v>
                </c:pt>
                <c:pt idx="4">
                  <c:v>1852</c:v>
                </c:pt>
                <c:pt idx="5">
                  <c:v>2589</c:v>
                </c:pt>
                <c:pt idx="6">
                  <c:v>2867</c:v>
                </c:pt>
                <c:pt idx="7">
                  <c:v>2867</c:v>
                </c:pt>
                <c:pt idx="8">
                  <c:v>3179</c:v>
                </c:pt>
                <c:pt idx="9">
                  <c:v>3260</c:v>
                </c:pt>
                <c:pt idx="10">
                  <c:v>3790</c:v>
                </c:pt>
                <c:pt idx="11">
                  <c:v>4250</c:v>
                </c:pt>
                <c:pt idx="12">
                  <c:v>4390</c:v>
                </c:pt>
                <c:pt idx="13">
                  <c:v>4390</c:v>
                </c:pt>
                <c:pt idx="14">
                  <c:v>4421</c:v>
                </c:pt>
                <c:pt idx="15">
                  <c:v>4487</c:v>
                </c:pt>
                <c:pt idx="16">
                  <c:v>4799</c:v>
                </c:pt>
                <c:pt idx="17">
                  <c:v>4799</c:v>
                </c:pt>
                <c:pt idx="18">
                  <c:v>5708</c:v>
                </c:pt>
                <c:pt idx="19">
                  <c:v>5829</c:v>
                </c:pt>
                <c:pt idx="20">
                  <c:v>5936</c:v>
                </c:pt>
                <c:pt idx="21">
                  <c:v>6051.5</c:v>
                </c:pt>
                <c:pt idx="22">
                  <c:v>6097</c:v>
                </c:pt>
                <c:pt idx="23">
                  <c:v>7025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BE-4B86-A875-CE066A6039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-2239.5</c:v>
                </c:pt>
                <c:pt idx="1">
                  <c:v>-2229.5</c:v>
                </c:pt>
                <c:pt idx="2">
                  <c:v>0</c:v>
                </c:pt>
                <c:pt idx="3">
                  <c:v>1538</c:v>
                </c:pt>
                <c:pt idx="4">
                  <c:v>1852</c:v>
                </c:pt>
                <c:pt idx="5">
                  <c:v>2589</c:v>
                </c:pt>
                <c:pt idx="6">
                  <c:v>2867</c:v>
                </c:pt>
                <c:pt idx="7">
                  <c:v>2867</c:v>
                </c:pt>
                <c:pt idx="8">
                  <c:v>3179</c:v>
                </c:pt>
                <c:pt idx="9">
                  <c:v>3260</c:v>
                </c:pt>
                <c:pt idx="10">
                  <c:v>3790</c:v>
                </c:pt>
                <c:pt idx="11">
                  <c:v>4250</c:v>
                </c:pt>
                <c:pt idx="12">
                  <c:v>4390</c:v>
                </c:pt>
                <c:pt idx="13">
                  <c:v>4390</c:v>
                </c:pt>
                <c:pt idx="14">
                  <c:v>4421</c:v>
                </c:pt>
                <c:pt idx="15">
                  <c:v>4487</c:v>
                </c:pt>
                <c:pt idx="16">
                  <c:v>4799</c:v>
                </c:pt>
                <c:pt idx="17">
                  <c:v>4799</c:v>
                </c:pt>
                <c:pt idx="18">
                  <c:v>5708</c:v>
                </c:pt>
                <c:pt idx="19">
                  <c:v>5829</c:v>
                </c:pt>
                <c:pt idx="20">
                  <c:v>5936</c:v>
                </c:pt>
                <c:pt idx="21">
                  <c:v>6051.5</c:v>
                </c:pt>
                <c:pt idx="22">
                  <c:v>6097</c:v>
                </c:pt>
                <c:pt idx="23">
                  <c:v>7025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2.1560720402484775E-3</c:v>
                </c:pt>
                <c:pt idx="1">
                  <c:v>2.1774275026650953E-3</c:v>
                </c:pt>
                <c:pt idx="2">
                  <c:v>6.9386278484498808E-3</c:v>
                </c:pt>
                <c:pt idx="3">
                  <c:v>1.0223097968125594E-2</c:v>
                </c:pt>
                <c:pt idx="4">
                  <c:v>1.0893659488007371E-2</c:v>
                </c:pt>
                <c:pt idx="5">
                  <c:v>1.2467557068112051E-2</c:v>
                </c:pt>
                <c:pt idx="6">
                  <c:v>1.3061238923294007E-2</c:v>
                </c:pt>
                <c:pt idx="7">
                  <c:v>1.3061238923294007E-2</c:v>
                </c:pt>
                <c:pt idx="8">
                  <c:v>1.3727529350692462E-2</c:v>
                </c:pt>
                <c:pt idx="9">
                  <c:v>1.3900508596267061E-2</c:v>
                </c:pt>
                <c:pt idx="10">
                  <c:v>1.5032348104347767E-2</c:v>
                </c:pt>
                <c:pt idx="11">
                  <c:v>1.6014699375512156E-2</c:v>
                </c:pt>
                <c:pt idx="12">
                  <c:v>1.6313675849344796E-2</c:v>
                </c:pt>
                <c:pt idx="13">
                  <c:v>1.6313675849344796E-2</c:v>
                </c:pt>
                <c:pt idx="14">
                  <c:v>1.6379877782836307E-2</c:v>
                </c:pt>
                <c:pt idx="15">
                  <c:v>1.652082383478598E-2</c:v>
                </c:pt>
                <c:pt idx="16">
                  <c:v>1.7187114262184434E-2</c:v>
                </c:pt>
                <c:pt idx="17">
                  <c:v>1.7187114262184434E-2</c:v>
                </c:pt>
                <c:pt idx="18">
                  <c:v>1.9128325795854932E-2</c:v>
                </c:pt>
                <c:pt idx="19">
                  <c:v>1.9386726891095996E-2</c:v>
                </c:pt>
                <c:pt idx="20">
                  <c:v>1.96152303389538E-2</c:v>
                </c:pt>
                <c:pt idx="21">
                  <c:v>1.9861885929865729E-2</c:v>
                </c:pt>
                <c:pt idx="22">
                  <c:v>1.9959053283861335E-2</c:v>
                </c:pt>
                <c:pt idx="23">
                  <c:v>2.1940840196123405E-2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BE-4B86-A875-CE066A6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214464"/>
        <c:axId val="1"/>
      </c:scatterChart>
      <c:valAx>
        <c:axId val="398214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19402985074625"/>
              <c:y val="0.8306722682028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6791044776119403E-2"/>
              <c:y val="0.357828146881000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214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31343283582089"/>
          <c:y val="0.91693424903356724"/>
          <c:w val="0.78358208955223885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0</xdr:row>
      <xdr:rowOff>28575</xdr:rowOff>
    </xdr:from>
    <xdr:to>
      <xdr:col>26</xdr:col>
      <xdr:colOff>676275</xdr:colOff>
      <xdr:row>17</xdr:row>
      <xdr:rowOff>133350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9594A1E-25C7-E4AE-E5B7-4EC469558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1104899</xdr:colOff>
      <xdr:row>0</xdr:row>
      <xdr:rowOff>104775</xdr:rowOff>
    </xdr:from>
    <xdr:to>
      <xdr:col>18</xdr:col>
      <xdr:colOff>142874</xdr:colOff>
      <xdr:row>17</xdr:row>
      <xdr:rowOff>85725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8A84518-F8E1-608A-817E-CC3A07036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676" TargetMode="External"/><Relationship Id="rId7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4888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var.astro.cz/oejv/issues/oejv0107.pdf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var.astro.cz/oejv/issues/oejv0003.pdf" TargetMode="External"/><Relationship Id="rId10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konkoly.hu/cgi-bin/IBVS?5676" TargetMode="External"/><Relationship Id="rId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6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K42" sqref="K42:K4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45</v>
      </c>
    </row>
    <row r="2" spans="1:6" s="21" customFormat="1" ht="12.95" customHeight="1">
      <c r="A2" s="21" t="s">
        <v>20</v>
      </c>
      <c r="B2" s="22" t="s">
        <v>36</v>
      </c>
    </row>
    <row r="3" spans="1:6" s="21" customFormat="1" ht="12.95" customHeight="1" thickBot="1">
      <c r="C3" s="23" t="s">
        <v>32</v>
      </c>
    </row>
    <row r="4" spans="1:6" s="21" customFormat="1" ht="12.95" customHeight="1" thickTop="1" thickBot="1">
      <c r="A4" s="24" t="s">
        <v>0</v>
      </c>
      <c r="C4" s="25">
        <v>45171.427000000003</v>
      </c>
      <c r="D4" s="26">
        <v>1.8018647000000001</v>
      </c>
    </row>
    <row r="5" spans="1:6" s="21" customFormat="1" ht="12.95" customHeight="1" thickTop="1">
      <c r="A5" s="27" t="s">
        <v>59</v>
      </c>
      <c r="C5" s="28">
        <v>-9.5</v>
      </c>
      <c r="D5" s="21" t="s">
        <v>60</v>
      </c>
    </row>
    <row r="6" spans="1:6" s="21" customFormat="1" ht="12.95" customHeight="1">
      <c r="A6" s="24" t="s">
        <v>1</v>
      </c>
    </row>
    <row r="7" spans="1:6" s="21" customFormat="1" ht="12.95" customHeight="1">
      <c r="A7" s="21" t="s">
        <v>2</v>
      </c>
      <c r="C7" s="21">
        <f>+C4</f>
        <v>45171.427000000003</v>
      </c>
    </row>
    <row r="8" spans="1:6" s="21" customFormat="1" ht="12.95" customHeight="1">
      <c r="A8" s="21" t="s">
        <v>3</v>
      </c>
      <c r="C8" s="21">
        <f>+D4</f>
        <v>1.8018647000000001</v>
      </c>
    </row>
    <row r="9" spans="1:6" s="21" customFormat="1" ht="12.95" customHeight="1">
      <c r="A9" s="29" t="s">
        <v>61</v>
      </c>
      <c r="B9" s="29"/>
      <c r="C9" s="30">
        <v>21</v>
      </c>
      <c r="D9" s="30">
        <v>21</v>
      </c>
    </row>
    <row r="10" spans="1:6" s="21" customFormat="1" ht="12.95" customHeight="1" thickBot="1">
      <c r="C10" s="31" t="s">
        <v>18</v>
      </c>
      <c r="D10" s="31" t="s">
        <v>19</v>
      </c>
    </row>
    <row r="11" spans="1:6" s="21" customFormat="1" ht="12.95" customHeight="1">
      <c r="A11" s="21" t="s">
        <v>15</v>
      </c>
      <c r="C11" s="32">
        <f ca="1">INTERCEPT(INDIRECT(C14):R$935,INDIRECT(C13):$F$935)</f>
        <v>6.9386278484498808E-3</v>
      </c>
      <c r="D11" s="32">
        <f ca="1">INTERCEPT(INDIRECT(D14):S$935,INDIRECT(D13):$F$935)</f>
        <v>4.4571499998808575</v>
      </c>
      <c r="E11" s="29" t="s">
        <v>53</v>
      </c>
      <c r="F11" s="21">
        <v>1</v>
      </c>
    </row>
    <row r="12" spans="1:6" s="21" customFormat="1" ht="12.95" customHeight="1">
      <c r="A12" s="21" t="s">
        <v>16</v>
      </c>
      <c r="C12" s="32">
        <f ca="1">SLOPE(INDIRECT(C14):R$935,INDIRECT(C13):$F$935)</f>
        <v>2.1355462416617115E-6</v>
      </c>
      <c r="D12" s="32">
        <f ca="1">SLOPE(INDIRECT(D14):S$935,INDIRECT(D13):$F$935)</f>
        <v>1.8352999999478926E-3</v>
      </c>
      <c r="E12" s="29" t="s">
        <v>54</v>
      </c>
      <c r="F12" s="33">
        <f ca="1">NOW()+15018.5+$C$5/24</f>
        <v>60326.780030671296</v>
      </c>
    </row>
    <row r="13" spans="1:6" s="21" customFormat="1" ht="12.95" customHeight="1">
      <c r="A13" s="29" t="s">
        <v>62</v>
      </c>
      <c r="B13" s="29"/>
      <c r="C13" s="30" t="str">
        <f>"F"&amp;C9</f>
        <v>F21</v>
      </c>
      <c r="D13" s="30" t="str">
        <f>"F"&amp;D9</f>
        <v>F21</v>
      </c>
      <c r="E13" s="29" t="s">
        <v>55</v>
      </c>
      <c r="F13" s="33">
        <f ca="1">ROUND(2*(F12-$C$7)/$C$8,0)/2+F11</f>
        <v>8412</v>
      </c>
    </row>
    <row r="14" spans="1:6" s="21" customFormat="1" ht="12.95" customHeight="1">
      <c r="A14" s="29" t="s">
        <v>63</v>
      </c>
      <c r="B14" s="29"/>
      <c r="C14" s="30" t="str">
        <f>"R"&amp;C9</f>
        <v>R21</v>
      </c>
      <c r="D14" s="30" t="str">
        <f>"S"&amp;D9</f>
        <v>S21</v>
      </c>
      <c r="E14" s="29" t="s">
        <v>56</v>
      </c>
      <c r="F14" s="32">
        <f ca="1">ROUND(2*(F12-$C$15)/$C$16,0)/2+F11</f>
        <v>1387</v>
      </c>
    </row>
    <row r="15" spans="1:6" s="21" customFormat="1" ht="12.95" customHeight="1">
      <c r="A15" s="34" t="s">
        <v>17</v>
      </c>
      <c r="C15" s="35">
        <f ca="1">($C7+C11)+($C8+C12)*INT(MAX($F21:$F3460))</f>
        <v>57829.548458340199</v>
      </c>
      <c r="D15" s="35">
        <f ca="1">($C7+D11)+($C8+D12)*(INT(MAX($F21:$F3460))+0.5)</f>
        <v>57847.77849999952</v>
      </c>
      <c r="E15" s="29" t="s">
        <v>57</v>
      </c>
      <c r="F15" s="36">
        <f ca="1">+$C$15+$C$16*F14-15018.5-$C$5/24</f>
        <v>45310.633592576174</v>
      </c>
    </row>
    <row r="16" spans="1:6" s="21" customFormat="1" ht="12.95" customHeight="1">
      <c r="A16" s="24" t="s">
        <v>4</v>
      </c>
      <c r="C16" s="37">
        <f ca="1">+$C8+C12</f>
        <v>1.8018668355462417</v>
      </c>
      <c r="D16" s="37">
        <f ca="1">+$C8+D12</f>
        <v>1.8036999999999479</v>
      </c>
      <c r="E16" s="38"/>
      <c r="F16" s="38" t="s">
        <v>58</v>
      </c>
    </row>
    <row r="17" spans="1:31" s="21" customFormat="1" ht="12.95" customHeight="1" thickBot="1">
      <c r="A17" s="29" t="s">
        <v>44</v>
      </c>
      <c r="C17" s="21">
        <f>COUNT(C21:C2191)</f>
        <v>24</v>
      </c>
    </row>
    <row r="18" spans="1:31" s="21" customFormat="1" ht="12.95" customHeight="1" thickTop="1" thickBot="1">
      <c r="A18" s="24" t="s">
        <v>42</v>
      </c>
      <c r="C18" s="39">
        <f ca="1">+C15</f>
        <v>57829.548458340199</v>
      </c>
      <c r="D18" s="40">
        <f ca="1">+C16</f>
        <v>1.8018668355462417</v>
      </c>
      <c r="E18" s="21">
        <f>+R19</f>
        <v>22</v>
      </c>
    </row>
    <row r="19" spans="1:31" s="21" customFormat="1" ht="12.95" customHeight="1" thickBot="1">
      <c r="A19" s="24" t="s">
        <v>43</v>
      </c>
      <c r="C19" s="41">
        <f ca="1">D15</f>
        <v>57847.77849999952</v>
      </c>
      <c r="D19" s="42">
        <f ca="1">D16</f>
        <v>1.8036999999999479</v>
      </c>
      <c r="E19" s="21">
        <f>+S19</f>
        <v>2</v>
      </c>
      <c r="R19" s="21">
        <f>COUNT(R21:R1646)</f>
        <v>22</v>
      </c>
      <c r="S19" s="21">
        <f>COUNT(S21:S1646)</f>
        <v>2</v>
      </c>
    </row>
    <row r="20" spans="1:31" s="21" customFormat="1" ht="12.95" customHeight="1" thickBot="1">
      <c r="A20" s="31" t="s">
        <v>5</v>
      </c>
      <c r="B20" s="31" t="s">
        <v>6</v>
      </c>
      <c r="C20" s="31" t="s">
        <v>7</v>
      </c>
      <c r="D20" s="31" t="s">
        <v>12</v>
      </c>
      <c r="E20" s="31" t="s">
        <v>8</v>
      </c>
      <c r="F20" s="31" t="s">
        <v>9</v>
      </c>
      <c r="G20" s="31" t="s">
        <v>10</v>
      </c>
      <c r="H20" s="43" t="s">
        <v>71</v>
      </c>
      <c r="I20" s="43" t="s">
        <v>74</v>
      </c>
      <c r="J20" s="43" t="s">
        <v>68</v>
      </c>
      <c r="K20" s="43" t="s">
        <v>66</v>
      </c>
      <c r="L20" s="43" t="s">
        <v>21</v>
      </c>
      <c r="M20" s="43" t="s">
        <v>22</v>
      </c>
      <c r="N20" s="43" t="s">
        <v>23</v>
      </c>
      <c r="O20" s="43" t="s">
        <v>39</v>
      </c>
      <c r="P20" s="44" t="s">
        <v>38</v>
      </c>
      <c r="Q20" s="31" t="s">
        <v>14</v>
      </c>
      <c r="R20" s="45" t="s">
        <v>40</v>
      </c>
      <c r="S20" s="45" t="s">
        <v>41</v>
      </c>
    </row>
    <row r="21" spans="1:31" s="21" customFormat="1" ht="12.95" customHeight="1">
      <c r="A21" s="21" t="s">
        <v>25</v>
      </c>
      <c r="C21" s="46">
        <v>41136.498</v>
      </c>
      <c r="D21" s="47"/>
      <c r="E21" s="21">
        <f t="shared" ref="E21:E43" si="0">+(C21-C$7)/C$8</f>
        <v>-2239.3074241367863</v>
      </c>
      <c r="F21" s="21">
        <f t="shared" ref="F21:F44" si="1">ROUND(2*E21,0)/2</f>
        <v>-2239.5</v>
      </c>
      <c r="G21" s="21">
        <f t="shared" ref="G21:G43" si="2">+C21-(C$7+F21*C$8)</f>
        <v>0.34699564999755239</v>
      </c>
      <c r="I21" s="32">
        <v>0.34699564999755239</v>
      </c>
      <c r="O21" s="21">
        <f t="shared" ref="O21:O43" ca="1" si="3">+C$11+C$12*$F21</f>
        <v>2.1560720402484775E-3</v>
      </c>
      <c r="P21" s="21">
        <f t="shared" ref="P21:P43" ca="1" si="4">+D$11+D$12*$F21</f>
        <v>0.34699564999755239</v>
      </c>
      <c r="Q21" s="48">
        <f t="shared" ref="Q21:Q43" si="5">+C21-15018.5</f>
        <v>26117.998</v>
      </c>
      <c r="S21" s="21">
        <f>G21</f>
        <v>0.34699564999755239</v>
      </c>
      <c r="AA21" s="21">
        <v>7</v>
      </c>
      <c r="AC21" s="21" t="s">
        <v>24</v>
      </c>
      <c r="AE21" s="21" t="s">
        <v>26</v>
      </c>
    </row>
    <row r="22" spans="1:31" s="21" customFormat="1" ht="12.95" customHeight="1">
      <c r="A22" s="21" t="s">
        <v>25</v>
      </c>
      <c r="C22" s="46">
        <v>41154.535000000003</v>
      </c>
      <c r="D22" s="47"/>
      <c r="E22" s="21">
        <f t="shared" si="0"/>
        <v>-2229.2972385773469</v>
      </c>
      <c r="F22" s="21">
        <f t="shared" si="1"/>
        <v>-2229.5</v>
      </c>
      <c r="G22" s="21">
        <f t="shared" si="2"/>
        <v>0.36534864999703132</v>
      </c>
      <c r="I22" s="32">
        <v>0.36534864999703132</v>
      </c>
      <c r="O22" s="21">
        <f t="shared" ca="1" si="3"/>
        <v>2.1774275026650953E-3</v>
      </c>
      <c r="P22" s="21">
        <f t="shared" ca="1" si="4"/>
        <v>0.36534864999703132</v>
      </c>
      <c r="Q22" s="48">
        <f t="shared" si="5"/>
        <v>26136.035000000003</v>
      </c>
      <c r="S22" s="21">
        <f>G22</f>
        <v>0.36534864999703132</v>
      </c>
      <c r="AA22" s="21">
        <v>6</v>
      </c>
      <c r="AC22" s="21" t="s">
        <v>24</v>
      </c>
      <c r="AE22" s="21" t="s">
        <v>26</v>
      </c>
    </row>
    <row r="23" spans="1:31" s="21" customFormat="1" ht="12.95" customHeight="1">
      <c r="A23" s="21" t="s">
        <v>11</v>
      </c>
      <c r="C23" s="47">
        <v>45171.427000000003</v>
      </c>
      <c r="D23" s="47" t="s">
        <v>13</v>
      </c>
      <c r="E23" s="21">
        <f t="shared" si="0"/>
        <v>0</v>
      </c>
      <c r="F23" s="21">
        <f t="shared" si="1"/>
        <v>0</v>
      </c>
      <c r="G23" s="21">
        <f t="shared" si="2"/>
        <v>0</v>
      </c>
      <c r="H23" s="21">
        <f>+G23</f>
        <v>0</v>
      </c>
      <c r="O23" s="21">
        <f t="shared" ca="1" si="3"/>
        <v>6.9386278484498808E-3</v>
      </c>
      <c r="P23" s="21">
        <f t="shared" ca="1" si="4"/>
        <v>4.4571499998808575</v>
      </c>
      <c r="Q23" s="48">
        <f t="shared" si="5"/>
        <v>30152.927000000003</v>
      </c>
      <c r="R23" s="21">
        <f t="shared" ref="R23:R43" si="6">G23</f>
        <v>0</v>
      </c>
    </row>
    <row r="24" spans="1:31" s="21" customFormat="1" ht="12.95" customHeight="1">
      <c r="A24" s="21" t="s">
        <v>28</v>
      </c>
      <c r="C24" s="46">
        <v>47942.701000000001</v>
      </c>
      <c r="D24" s="47"/>
      <c r="E24" s="21">
        <f t="shared" si="0"/>
        <v>1538.0033806089866</v>
      </c>
      <c r="F24" s="21">
        <f t="shared" si="1"/>
        <v>1538</v>
      </c>
      <c r="G24" s="21">
        <f t="shared" si="2"/>
        <v>6.0913999986951239E-3</v>
      </c>
      <c r="I24" s="21">
        <f>+G24</f>
        <v>6.0913999986951239E-3</v>
      </c>
      <c r="O24" s="21">
        <f t="shared" ca="1" si="3"/>
        <v>1.0223097968125594E-2</v>
      </c>
      <c r="P24" s="21">
        <f t="shared" ca="1" si="4"/>
        <v>7.2798413998007163</v>
      </c>
      <c r="Q24" s="48">
        <f t="shared" si="5"/>
        <v>32924.201000000001</v>
      </c>
      <c r="R24" s="21">
        <f t="shared" si="6"/>
        <v>6.0913999986951239E-3</v>
      </c>
      <c r="AA24" s="21">
        <v>8</v>
      </c>
      <c r="AC24" s="21" t="s">
        <v>27</v>
      </c>
      <c r="AE24" s="21" t="s">
        <v>26</v>
      </c>
    </row>
    <row r="25" spans="1:31" s="21" customFormat="1" ht="12.95" customHeight="1">
      <c r="A25" s="21" t="s">
        <v>29</v>
      </c>
      <c r="C25" s="46">
        <v>48508.498</v>
      </c>
      <c r="D25" s="47">
        <v>3.0000000000000001E-3</v>
      </c>
      <c r="E25" s="21">
        <f t="shared" si="0"/>
        <v>1852.0097541174962</v>
      </c>
      <c r="F25" s="21">
        <f t="shared" si="1"/>
        <v>1852</v>
      </c>
      <c r="G25" s="21">
        <f t="shared" si="2"/>
        <v>1.7575599995325319E-2</v>
      </c>
      <c r="I25" s="21">
        <f>+G25</f>
        <v>1.7575599995325319E-2</v>
      </c>
      <c r="O25" s="21">
        <f t="shared" ca="1" si="3"/>
        <v>1.0893659488007371E-2</v>
      </c>
      <c r="P25" s="21">
        <f t="shared" ca="1" si="4"/>
        <v>7.8561255997843542</v>
      </c>
      <c r="Q25" s="48">
        <f t="shared" si="5"/>
        <v>33489.998</v>
      </c>
      <c r="R25" s="21">
        <f t="shared" si="6"/>
        <v>1.7575599995325319E-2</v>
      </c>
      <c r="AA25" s="21">
        <v>8</v>
      </c>
      <c r="AC25" s="21" t="s">
        <v>27</v>
      </c>
      <c r="AE25" s="21" t="s">
        <v>26</v>
      </c>
    </row>
    <row r="26" spans="1:31" s="21" customFormat="1" ht="12.95" customHeight="1">
      <c r="A26" s="21" t="s">
        <v>30</v>
      </c>
      <c r="C26" s="46">
        <v>49836.472000000002</v>
      </c>
      <c r="D26" s="47">
        <v>6.0000000000000001E-3</v>
      </c>
      <c r="E26" s="21">
        <f t="shared" si="0"/>
        <v>2589.0095965584974</v>
      </c>
      <c r="F26" s="21">
        <f t="shared" si="1"/>
        <v>2589</v>
      </c>
      <c r="G26" s="21">
        <f t="shared" si="2"/>
        <v>1.7291699994530063E-2</v>
      </c>
      <c r="I26" s="21">
        <f>+G26</f>
        <v>1.7291699994530063E-2</v>
      </c>
      <c r="O26" s="21">
        <f t="shared" ca="1" si="3"/>
        <v>1.2467557068112051E-2</v>
      </c>
      <c r="P26" s="21">
        <f t="shared" ca="1" si="4"/>
        <v>9.2087416997459517</v>
      </c>
      <c r="Q26" s="48">
        <f t="shared" si="5"/>
        <v>34817.972000000002</v>
      </c>
      <c r="R26" s="21">
        <f t="shared" si="6"/>
        <v>1.7291699994530063E-2</v>
      </c>
      <c r="AA26" s="21">
        <v>10</v>
      </c>
      <c r="AC26" s="21" t="s">
        <v>27</v>
      </c>
      <c r="AE26" s="21" t="s">
        <v>26</v>
      </c>
    </row>
    <row r="27" spans="1:31" s="21" customFormat="1" ht="12.95" customHeight="1">
      <c r="A27" s="21" t="s">
        <v>31</v>
      </c>
      <c r="C27" s="46">
        <v>50337.387000000002</v>
      </c>
      <c r="D27" s="47">
        <v>5.0000000000000001E-4</v>
      </c>
      <c r="E27" s="21">
        <f t="shared" si="0"/>
        <v>2867.0077170611085</v>
      </c>
      <c r="F27" s="21">
        <f t="shared" si="1"/>
        <v>2867</v>
      </c>
      <c r="G27" s="21">
        <f t="shared" si="2"/>
        <v>1.3905100000556558E-2</v>
      </c>
      <c r="I27" s="21">
        <f>+G27</f>
        <v>1.3905100000556558E-2</v>
      </c>
      <c r="O27" s="21">
        <f t="shared" ca="1" si="3"/>
        <v>1.3061238923294007E-2</v>
      </c>
      <c r="P27" s="21">
        <f t="shared" ca="1" si="4"/>
        <v>9.7189550997314651</v>
      </c>
      <c r="Q27" s="48">
        <f t="shared" si="5"/>
        <v>35318.887000000002</v>
      </c>
      <c r="R27" s="21">
        <f t="shared" si="6"/>
        <v>1.3905100000556558E-2</v>
      </c>
      <c r="AA27" s="21">
        <v>15</v>
      </c>
      <c r="AC27" s="21" t="s">
        <v>24</v>
      </c>
      <c r="AE27" s="21" t="s">
        <v>26</v>
      </c>
    </row>
    <row r="28" spans="1:31" s="21" customFormat="1" ht="12.95" customHeight="1">
      <c r="A28" s="49" t="s">
        <v>95</v>
      </c>
      <c r="B28" s="50" t="s">
        <v>35</v>
      </c>
      <c r="C28" s="51">
        <v>50337.387900000002</v>
      </c>
      <c r="D28" s="51" t="s">
        <v>74</v>
      </c>
      <c r="E28" s="21">
        <f t="shared" si="0"/>
        <v>2867.0082165436716</v>
      </c>
      <c r="F28" s="21">
        <f t="shared" si="1"/>
        <v>2867</v>
      </c>
      <c r="G28" s="21">
        <f t="shared" si="2"/>
        <v>1.4805099999648519E-2</v>
      </c>
      <c r="J28" s="21">
        <f>+G28</f>
        <v>1.4805099999648519E-2</v>
      </c>
      <c r="O28" s="21">
        <f t="shared" ca="1" si="3"/>
        <v>1.3061238923294007E-2</v>
      </c>
      <c r="P28" s="21">
        <f t="shared" ca="1" si="4"/>
        <v>9.7189550997314651</v>
      </c>
      <c r="Q28" s="48">
        <f t="shared" si="5"/>
        <v>35318.887900000002</v>
      </c>
      <c r="R28" s="21">
        <f t="shared" si="6"/>
        <v>1.4805099999648519E-2</v>
      </c>
    </row>
    <row r="29" spans="1:31" s="21" customFormat="1" ht="12.95" customHeight="1">
      <c r="A29" s="21" t="s">
        <v>33</v>
      </c>
      <c r="B29" s="47"/>
      <c r="C29" s="47">
        <v>50899.569499999998</v>
      </c>
      <c r="D29" s="47">
        <v>2.5999999999999999E-3</v>
      </c>
      <c r="E29" s="21">
        <f t="shared" si="0"/>
        <v>3179.0081130952808</v>
      </c>
      <c r="F29" s="21">
        <f t="shared" si="1"/>
        <v>3179</v>
      </c>
      <c r="G29" s="21">
        <f t="shared" si="2"/>
        <v>1.4618699991842732E-2</v>
      </c>
      <c r="K29" s="21">
        <f>+G29</f>
        <v>1.4618699991842732E-2</v>
      </c>
      <c r="O29" s="21">
        <f t="shared" ca="1" si="3"/>
        <v>1.3727529350692462E-2</v>
      </c>
      <c r="P29" s="21">
        <f t="shared" ca="1" si="4"/>
        <v>10.291568699715208</v>
      </c>
      <c r="Q29" s="48">
        <f t="shared" si="5"/>
        <v>35881.069499999998</v>
      </c>
      <c r="R29" s="21">
        <f t="shared" si="6"/>
        <v>1.4618699991842732E-2</v>
      </c>
    </row>
    <row r="30" spans="1:31" s="21" customFormat="1" ht="12.95" customHeight="1">
      <c r="A30" s="21" t="s">
        <v>33</v>
      </c>
      <c r="B30" s="52"/>
      <c r="C30" s="47">
        <v>51045.521099999998</v>
      </c>
      <c r="D30" s="47">
        <v>3.0000000000000001E-3</v>
      </c>
      <c r="E30" s="21">
        <f t="shared" si="0"/>
        <v>3260.0084234959454</v>
      </c>
      <c r="F30" s="21">
        <f t="shared" si="1"/>
        <v>3260</v>
      </c>
      <c r="G30" s="21">
        <f t="shared" si="2"/>
        <v>1.5177999994193669E-2</v>
      </c>
      <c r="K30" s="21">
        <f>+G30</f>
        <v>1.5177999994193669E-2</v>
      </c>
      <c r="O30" s="21">
        <f t="shared" ca="1" si="3"/>
        <v>1.3900508596267061E-2</v>
      </c>
      <c r="P30" s="21">
        <f t="shared" ca="1" si="4"/>
        <v>10.440227999710988</v>
      </c>
      <c r="Q30" s="48">
        <f t="shared" si="5"/>
        <v>36027.021099999998</v>
      </c>
      <c r="R30" s="21">
        <f t="shared" si="6"/>
        <v>1.5177999994193669E-2</v>
      </c>
    </row>
    <row r="31" spans="1:31" s="21" customFormat="1" ht="12.95" customHeight="1">
      <c r="A31" s="49" t="s">
        <v>107</v>
      </c>
      <c r="B31" s="50" t="s">
        <v>35</v>
      </c>
      <c r="C31" s="51">
        <v>52000.508999999998</v>
      </c>
      <c r="D31" s="51" t="s">
        <v>74</v>
      </c>
      <c r="E31" s="21">
        <f t="shared" si="0"/>
        <v>3790.0082064985204</v>
      </c>
      <c r="F31" s="21">
        <f t="shared" si="1"/>
        <v>3790</v>
      </c>
      <c r="G31" s="21">
        <f t="shared" si="2"/>
        <v>1.4786999992793426E-2</v>
      </c>
      <c r="I31" s="21">
        <f>+G31</f>
        <v>1.4786999992793426E-2</v>
      </c>
      <c r="O31" s="21">
        <f t="shared" ca="1" si="3"/>
        <v>1.5032348104347767E-2</v>
      </c>
      <c r="P31" s="21">
        <f t="shared" ca="1" si="4"/>
        <v>11.412936999683371</v>
      </c>
      <c r="Q31" s="48">
        <f t="shared" si="5"/>
        <v>36982.008999999998</v>
      </c>
      <c r="R31" s="21">
        <f t="shared" si="6"/>
        <v>1.4786999992793426E-2</v>
      </c>
    </row>
    <row r="32" spans="1:31" s="21" customFormat="1" ht="12.95" customHeight="1">
      <c r="A32" s="5" t="s">
        <v>37</v>
      </c>
      <c r="B32" s="53" t="s">
        <v>35</v>
      </c>
      <c r="C32" s="54">
        <v>52829.368699999999</v>
      </c>
      <c r="D32" s="54">
        <v>4.0000000000000002E-4</v>
      </c>
      <c r="E32" s="21">
        <f t="shared" si="0"/>
        <v>4250.0092820509753</v>
      </c>
      <c r="F32" s="21">
        <f t="shared" si="1"/>
        <v>4250</v>
      </c>
      <c r="G32" s="21">
        <f t="shared" si="2"/>
        <v>1.6724999994039536E-2</v>
      </c>
      <c r="K32" s="21">
        <f>+G32</f>
        <v>1.6724999994039536E-2</v>
      </c>
      <c r="O32" s="21">
        <f t="shared" ca="1" si="3"/>
        <v>1.6014699375512156E-2</v>
      </c>
      <c r="P32" s="21">
        <f t="shared" ca="1" si="4"/>
        <v>12.257174999659401</v>
      </c>
      <c r="Q32" s="48">
        <f t="shared" si="5"/>
        <v>37810.868699999999</v>
      </c>
      <c r="R32" s="21">
        <f t="shared" si="6"/>
        <v>1.6724999994039536E-2</v>
      </c>
    </row>
    <row r="33" spans="1:18" s="21" customFormat="1" ht="12.95" customHeight="1">
      <c r="A33" s="49" t="s">
        <v>37</v>
      </c>
      <c r="B33" s="50" t="s">
        <v>35</v>
      </c>
      <c r="C33" s="51">
        <v>53081.630100000002</v>
      </c>
      <c r="D33" s="51" t="s">
        <v>74</v>
      </c>
      <c r="E33" s="21">
        <f t="shared" si="0"/>
        <v>4390.0094718543505</v>
      </c>
      <c r="F33" s="21">
        <f t="shared" si="1"/>
        <v>4390</v>
      </c>
      <c r="G33" s="21">
        <f t="shared" si="2"/>
        <v>1.70670000006794E-2</v>
      </c>
      <c r="K33" s="21">
        <f>+G33</f>
        <v>1.70670000006794E-2</v>
      </c>
      <c r="O33" s="21">
        <f t="shared" ca="1" si="3"/>
        <v>1.6313675849344796E-2</v>
      </c>
      <c r="P33" s="21">
        <f t="shared" ca="1" si="4"/>
        <v>12.514116999652106</v>
      </c>
      <c r="Q33" s="48">
        <f t="shared" si="5"/>
        <v>38063.130100000002</v>
      </c>
      <c r="R33" s="21">
        <f t="shared" si="6"/>
        <v>1.70670000006794E-2</v>
      </c>
    </row>
    <row r="34" spans="1:18" s="21" customFormat="1" ht="12.95" customHeight="1">
      <c r="A34" s="5" t="s">
        <v>37</v>
      </c>
      <c r="B34" s="53" t="s">
        <v>35</v>
      </c>
      <c r="C34" s="54">
        <v>53081.630129999998</v>
      </c>
      <c r="D34" s="54">
        <v>8.0000000000000007E-5</v>
      </c>
      <c r="E34" s="21">
        <f t="shared" si="0"/>
        <v>4390.009488503767</v>
      </c>
      <c r="F34" s="21">
        <f t="shared" si="1"/>
        <v>4390</v>
      </c>
      <c r="G34" s="21">
        <f t="shared" si="2"/>
        <v>1.7096999996283557E-2</v>
      </c>
      <c r="K34" s="21">
        <f>+G34</f>
        <v>1.7096999996283557E-2</v>
      </c>
      <c r="O34" s="21">
        <f t="shared" ca="1" si="3"/>
        <v>1.6313675849344796E-2</v>
      </c>
      <c r="P34" s="21">
        <f t="shared" ca="1" si="4"/>
        <v>12.514116999652106</v>
      </c>
      <c r="Q34" s="48">
        <f t="shared" si="5"/>
        <v>38063.130129999998</v>
      </c>
      <c r="R34" s="21">
        <f t="shared" si="6"/>
        <v>1.7096999996283557E-2</v>
      </c>
    </row>
    <row r="35" spans="1:18" s="21" customFormat="1" ht="12.95" customHeight="1">
      <c r="A35" s="21" t="s">
        <v>34</v>
      </c>
      <c r="B35" s="55" t="s">
        <v>35</v>
      </c>
      <c r="C35" s="47">
        <v>53137.48</v>
      </c>
      <c r="D35" s="56">
        <v>6.0000000000000001E-3</v>
      </c>
      <c r="E35" s="21">
        <f t="shared" si="0"/>
        <v>4421.0050843440131</v>
      </c>
      <c r="F35" s="21">
        <f t="shared" si="1"/>
        <v>4421</v>
      </c>
      <c r="G35" s="21">
        <f t="shared" si="2"/>
        <v>9.1612999967765063E-3</v>
      </c>
      <c r="K35" s="21">
        <f>+G35</f>
        <v>9.1612999967765063E-3</v>
      </c>
      <c r="O35" s="21">
        <f t="shared" ca="1" si="3"/>
        <v>1.6379877782836307E-2</v>
      </c>
      <c r="P35" s="21">
        <f t="shared" ca="1" si="4"/>
        <v>12.57101129965049</v>
      </c>
      <c r="Q35" s="48">
        <f t="shared" si="5"/>
        <v>38118.980000000003</v>
      </c>
      <c r="R35" s="21">
        <f t="shared" si="6"/>
        <v>9.1612999967765063E-3</v>
      </c>
    </row>
    <row r="36" spans="1:18" s="21" customFormat="1" ht="12.95" customHeight="1">
      <c r="A36" s="6" t="s">
        <v>48</v>
      </c>
      <c r="B36" s="7" t="s">
        <v>35</v>
      </c>
      <c r="C36" s="6">
        <v>53256.41</v>
      </c>
      <c r="D36" s="6">
        <v>3.0000000000000001E-3</v>
      </c>
      <c r="E36" s="21">
        <f t="shared" si="0"/>
        <v>4487.0089302487586</v>
      </c>
      <c r="F36" s="21">
        <f t="shared" si="1"/>
        <v>4487</v>
      </c>
      <c r="G36" s="21">
        <f t="shared" si="2"/>
        <v>1.6091099998448044E-2</v>
      </c>
      <c r="I36" s="21">
        <f>+G36</f>
        <v>1.6091099998448044E-2</v>
      </c>
      <c r="O36" s="21">
        <f t="shared" ca="1" si="3"/>
        <v>1.652082383478598E-2</v>
      </c>
      <c r="P36" s="21">
        <f t="shared" ca="1" si="4"/>
        <v>12.692141099647053</v>
      </c>
      <c r="Q36" s="48">
        <f t="shared" si="5"/>
        <v>38237.910000000003</v>
      </c>
      <c r="R36" s="21">
        <f t="shared" si="6"/>
        <v>1.6091099998448044E-2</v>
      </c>
    </row>
    <row r="37" spans="1:18" s="21" customFormat="1" ht="12.95" customHeight="1">
      <c r="A37" s="49" t="s">
        <v>49</v>
      </c>
      <c r="B37" s="50" t="s">
        <v>35</v>
      </c>
      <c r="C37" s="51">
        <v>53818.594599999997</v>
      </c>
      <c r="D37" s="51" t="s">
        <v>74</v>
      </c>
      <c r="E37" s="21">
        <f t="shared" si="0"/>
        <v>4799.010491742245</v>
      </c>
      <c r="F37" s="21">
        <f t="shared" si="1"/>
        <v>4799</v>
      </c>
      <c r="G37" s="21">
        <f t="shared" si="2"/>
        <v>1.8904699994891416E-2</v>
      </c>
      <c r="K37" s="21">
        <f>+G37</f>
        <v>1.8904699994891416E-2</v>
      </c>
      <c r="O37" s="21">
        <f t="shared" ca="1" si="3"/>
        <v>1.7187114262184434E-2</v>
      </c>
      <c r="P37" s="21">
        <f t="shared" ca="1" si="4"/>
        <v>13.264754699630792</v>
      </c>
      <c r="Q37" s="48">
        <f t="shared" si="5"/>
        <v>38800.094599999997</v>
      </c>
      <c r="R37" s="21">
        <f t="shared" si="6"/>
        <v>1.8904699994891416E-2</v>
      </c>
    </row>
    <row r="38" spans="1:18" s="21" customFormat="1" ht="12.95" customHeight="1">
      <c r="A38" s="6" t="s">
        <v>49</v>
      </c>
      <c r="B38" s="7" t="s">
        <v>35</v>
      </c>
      <c r="C38" s="6">
        <v>53818.594640000003</v>
      </c>
      <c r="D38" s="6">
        <v>1E-4</v>
      </c>
      <c r="E38" s="21">
        <f t="shared" si="0"/>
        <v>4799.0105139414736</v>
      </c>
      <c r="F38" s="21">
        <f t="shared" si="1"/>
        <v>4799</v>
      </c>
      <c r="G38" s="21">
        <f t="shared" si="2"/>
        <v>1.8944700001156889E-2</v>
      </c>
      <c r="K38" s="21">
        <f>+G38</f>
        <v>1.8944700001156889E-2</v>
      </c>
      <c r="O38" s="21">
        <f t="shared" ca="1" si="3"/>
        <v>1.7187114262184434E-2</v>
      </c>
      <c r="P38" s="21">
        <f t="shared" ca="1" si="4"/>
        <v>13.264754699630792</v>
      </c>
      <c r="Q38" s="48">
        <f t="shared" si="5"/>
        <v>38800.094640000003</v>
      </c>
      <c r="R38" s="21">
        <f t="shared" si="6"/>
        <v>1.8944700001156889E-2</v>
      </c>
    </row>
    <row r="39" spans="1:18" s="21" customFormat="1" ht="12.95" customHeight="1">
      <c r="A39" s="6" t="s">
        <v>46</v>
      </c>
      <c r="B39" s="7" t="s">
        <v>35</v>
      </c>
      <c r="C39" s="6">
        <v>55456.491170000001</v>
      </c>
      <c r="D39" s="6">
        <v>5.0000000000000002E-5</v>
      </c>
      <c r="E39" s="21">
        <f t="shared" si="0"/>
        <v>5708.0113562355691</v>
      </c>
      <c r="F39" s="21">
        <f t="shared" si="1"/>
        <v>5708</v>
      </c>
      <c r="G39" s="21">
        <f t="shared" si="2"/>
        <v>2.0462399996176828E-2</v>
      </c>
      <c r="K39" s="21">
        <f>+G39</f>
        <v>2.0462399996176828E-2</v>
      </c>
      <c r="O39" s="21">
        <f t="shared" ca="1" si="3"/>
        <v>1.9128325795854932E-2</v>
      </c>
      <c r="P39" s="21">
        <f t="shared" ca="1" si="4"/>
        <v>14.933042399583428</v>
      </c>
      <c r="Q39" s="48">
        <f t="shared" si="5"/>
        <v>40437.991170000001</v>
      </c>
      <c r="R39" s="21">
        <f t="shared" si="6"/>
        <v>2.0462399996176828E-2</v>
      </c>
    </row>
    <row r="40" spans="1:18" s="21" customFormat="1" ht="12.95" customHeight="1">
      <c r="A40" s="6" t="s">
        <v>47</v>
      </c>
      <c r="B40" s="7" t="s">
        <v>35</v>
      </c>
      <c r="C40" s="6">
        <v>55674.517200000002</v>
      </c>
      <c r="D40" s="6">
        <v>1.8E-3</v>
      </c>
      <c r="E40" s="21">
        <f t="shared" si="0"/>
        <v>5829.0115789492957</v>
      </c>
      <c r="F40" s="21">
        <f t="shared" si="1"/>
        <v>5829</v>
      </c>
      <c r="G40" s="21">
        <f t="shared" si="2"/>
        <v>2.0863699995970819E-2</v>
      </c>
      <c r="J40" s="21">
        <f>+G40</f>
        <v>2.0863699995970819E-2</v>
      </c>
      <c r="O40" s="21">
        <f t="shared" ca="1" si="3"/>
        <v>1.9386726891095996E-2</v>
      </c>
      <c r="P40" s="21">
        <f t="shared" ca="1" si="4"/>
        <v>15.155113699577122</v>
      </c>
      <c r="Q40" s="48">
        <f t="shared" si="5"/>
        <v>40656.017200000002</v>
      </c>
      <c r="R40" s="21">
        <f t="shared" si="6"/>
        <v>2.0863699995970819E-2</v>
      </c>
    </row>
    <row r="41" spans="1:18" s="21" customFormat="1" ht="12.95" customHeight="1">
      <c r="A41" s="49" t="s">
        <v>148</v>
      </c>
      <c r="B41" s="50" t="s">
        <v>35</v>
      </c>
      <c r="C41" s="51">
        <v>55867.316400000003</v>
      </c>
      <c r="D41" s="51" t="s">
        <v>74</v>
      </c>
      <c r="E41" s="21">
        <f t="shared" si="0"/>
        <v>5936.0113997460512</v>
      </c>
      <c r="F41" s="21">
        <f t="shared" si="1"/>
        <v>5936</v>
      </c>
      <c r="G41" s="21">
        <f t="shared" si="2"/>
        <v>2.0540799996524584E-2</v>
      </c>
      <c r="K41" s="21">
        <f>+G41</f>
        <v>2.0540799996524584E-2</v>
      </c>
      <c r="O41" s="21">
        <f t="shared" ca="1" si="3"/>
        <v>1.96152303389538E-2</v>
      </c>
      <c r="P41" s="21">
        <f t="shared" ca="1" si="4"/>
        <v>15.351490799571547</v>
      </c>
      <c r="Q41" s="48">
        <f t="shared" si="5"/>
        <v>40848.816400000003</v>
      </c>
      <c r="R41" s="21">
        <f t="shared" si="6"/>
        <v>2.0540799996524584E-2</v>
      </c>
    </row>
    <row r="42" spans="1:18" s="21" customFormat="1" ht="12.95" customHeight="1">
      <c r="A42" s="57" t="s">
        <v>50</v>
      </c>
      <c r="B42" s="58" t="s">
        <v>51</v>
      </c>
      <c r="C42" s="59">
        <v>56075.430800000002</v>
      </c>
      <c r="D42" s="59">
        <v>2.8E-3</v>
      </c>
      <c r="E42" s="21">
        <f t="shared" si="0"/>
        <v>6051.5108598331481</v>
      </c>
      <c r="F42" s="21">
        <f t="shared" si="1"/>
        <v>6051.5</v>
      </c>
      <c r="G42" s="21">
        <f t="shared" si="2"/>
        <v>1.956794999568956E-2</v>
      </c>
      <c r="K42" s="21">
        <f>+G42</f>
        <v>1.956794999568956E-2</v>
      </c>
      <c r="O42" s="21">
        <f t="shared" ca="1" si="3"/>
        <v>1.9861885929865729E-2</v>
      </c>
      <c r="P42" s="21">
        <f t="shared" ca="1" si="4"/>
        <v>15.563467949565528</v>
      </c>
      <c r="Q42" s="48">
        <f t="shared" si="5"/>
        <v>41056.930800000002</v>
      </c>
      <c r="R42" s="21">
        <f t="shared" si="6"/>
        <v>1.956794999568956E-2</v>
      </c>
    </row>
    <row r="43" spans="1:18" s="21" customFormat="1" ht="12.95" customHeight="1">
      <c r="A43" s="57" t="s">
        <v>52</v>
      </c>
      <c r="B43" s="58" t="s">
        <v>35</v>
      </c>
      <c r="C43" s="59">
        <v>56157.415099999998</v>
      </c>
      <c r="D43" s="59">
        <v>1.1999999999999999E-3</v>
      </c>
      <c r="E43" s="21">
        <f t="shared" si="0"/>
        <v>6097.010558006933</v>
      </c>
      <c r="F43" s="21">
        <f t="shared" si="1"/>
        <v>6097</v>
      </c>
      <c r="G43" s="21">
        <f t="shared" si="2"/>
        <v>1.9024099994567223E-2</v>
      </c>
      <c r="K43" s="21">
        <f>+G43</f>
        <v>1.9024099994567223E-2</v>
      </c>
      <c r="O43" s="21">
        <f t="shared" ca="1" si="3"/>
        <v>1.9959053283861335E-2</v>
      </c>
      <c r="P43" s="21">
        <f t="shared" ca="1" si="4"/>
        <v>15.64697409956316</v>
      </c>
      <c r="Q43" s="48">
        <f t="shared" si="5"/>
        <v>41138.915099999998</v>
      </c>
      <c r="R43" s="21">
        <f t="shared" si="6"/>
        <v>1.9024099994567223E-2</v>
      </c>
    </row>
    <row r="44" spans="1:18" s="21" customFormat="1" ht="12.95" customHeight="1">
      <c r="A44" s="60" t="s">
        <v>159</v>
      </c>
      <c r="B44" s="61" t="s">
        <v>35</v>
      </c>
      <c r="C44" s="62">
        <v>57829.542929999996</v>
      </c>
      <c r="D44" s="62">
        <v>1E-4</v>
      </c>
      <c r="E44" s="21">
        <f>+(C44-C$7)/C$8</f>
        <v>7025.0091086195271</v>
      </c>
      <c r="F44" s="21">
        <f t="shared" si="1"/>
        <v>7025</v>
      </c>
      <c r="G44" s="21">
        <f>+C44-(C$7+F44*C$8)</f>
        <v>1.6412499993748497E-2</v>
      </c>
      <c r="K44" s="21">
        <f>+G44</f>
        <v>1.6412499993748497E-2</v>
      </c>
      <c r="O44" s="21">
        <f ca="1">+C$11+C$12*$F44</f>
        <v>2.1940840196123405E-2</v>
      </c>
      <c r="P44" s="21">
        <f ca="1">+D$11+D$12*$F44</f>
        <v>17.350132499514803</v>
      </c>
      <c r="Q44" s="48">
        <f>+C44-15018.5</f>
        <v>42811.042929999996</v>
      </c>
      <c r="R44" s="21">
        <f>G44</f>
        <v>1.6412499993748497E-2</v>
      </c>
    </row>
    <row r="45" spans="1:18" s="21" customFormat="1" ht="12.95" customHeight="1">
      <c r="C45" s="47"/>
      <c r="D45" s="47"/>
    </row>
    <row r="46" spans="1:18" s="21" customFormat="1" ht="12.95" customHeight="1">
      <c r="C46" s="47"/>
      <c r="D46" s="47"/>
    </row>
    <row r="47" spans="1:18" s="21" customFormat="1" ht="12.95" customHeight="1">
      <c r="C47" s="47"/>
      <c r="D47" s="47"/>
    </row>
    <row r="48" spans="1:18" s="21" customFormat="1" ht="12.95" customHeight="1">
      <c r="C48" s="47"/>
      <c r="D48" s="47"/>
    </row>
    <row r="49" spans="3:4" s="21" customFormat="1" ht="12.95" customHeight="1">
      <c r="C49" s="47"/>
      <c r="D49" s="47"/>
    </row>
    <row r="50" spans="3:4" s="21" customFormat="1" ht="12.95" customHeight="1">
      <c r="C50" s="47"/>
      <c r="D50" s="47"/>
    </row>
    <row r="51" spans="3:4" s="21" customFormat="1" ht="12.95" customHeight="1">
      <c r="C51" s="47"/>
      <c r="D51" s="47"/>
    </row>
    <row r="52" spans="3:4" s="21" customFormat="1" ht="12.95" customHeight="1">
      <c r="C52" s="47"/>
      <c r="D52" s="47"/>
    </row>
    <row r="53" spans="3:4" s="21" customFormat="1" ht="12.95" customHeight="1">
      <c r="C53" s="47"/>
      <c r="D53" s="47"/>
    </row>
    <row r="54" spans="3:4" s="21" customFormat="1" ht="12.95" customHeight="1">
      <c r="C54" s="47"/>
      <c r="D54" s="47"/>
    </row>
    <row r="55" spans="3:4" s="21" customFormat="1" ht="12.95" customHeight="1">
      <c r="C55" s="47"/>
      <c r="D55" s="47"/>
    </row>
    <row r="56" spans="3:4" s="21" customFormat="1" ht="12.95" customHeight="1">
      <c r="C56" s="47"/>
      <c r="D56" s="47"/>
    </row>
    <row r="57" spans="3:4" s="21" customFormat="1" ht="12.95" customHeight="1">
      <c r="C57" s="47"/>
      <c r="D57" s="47"/>
    </row>
    <row r="58" spans="3:4" s="21" customFormat="1" ht="12.95" customHeight="1">
      <c r="C58" s="47"/>
      <c r="D58" s="47"/>
    </row>
    <row r="59" spans="3:4" s="21" customFormat="1" ht="12.95" customHeight="1">
      <c r="C59" s="47"/>
      <c r="D59" s="47"/>
    </row>
    <row r="60" spans="3:4" s="21" customFormat="1" ht="12.95" customHeight="1">
      <c r="C60" s="47"/>
      <c r="D60" s="47"/>
    </row>
    <row r="61" spans="3:4" s="21" customFormat="1" ht="12.95" customHeight="1">
      <c r="C61" s="47"/>
      <c r="D61" s="47"/>
    </row>
    <row r="62" spans="3:4" s="21" customFormat="1" ht="12.95" customHeight="1">
      <c r="C62" s="47"/>
      <c r="D62" s="47"/>
    </row>
    <row r="63" spans="3:4" s="21" customFormat="1" ht="12.95" customHeight="1">
      <c r="C63" s="47"/>
      <c r="D63" s="47"/>
    </row>
    <row r="64" spans="3:4" s="21" customFormat="1" ht="12.95" customHeight="1">
      <c r="C64" s="47"/>
      <c r="D64" s="47"/>
    </row>
    <row r="65" spans="3:4" s="21" customFormat="1" ht="12.95" customHeight="1">
      <c r="C65" s="47"/>
      <c r="D65" s="47"/>
    </row>
    <row r="66" spans="3:4" s="21" customFormat="1" ht="12.95" customHeight="1">
      <c r="C66" s="47"/>
      <c r="D66" s="47"/>
    </row>
    <row r="67" spans="3:4" s="21" customFormat="1" ht="12.95" customHeight="1">
      <c r="C67" s="47"/>
      <c r="D67" s="47"/>
    </row>
    <row r="68" spans="3:4" s="21" customFormat="1" ht="12.95" customHeight="1">
      <c r="C68" s="47"/>
      <c r="D68" s="47"/>
    </row>
    <row r="69" spans="3:4" s="21" customFormat="1" ht="12.95" customHeight="1">
      <c r="C69" s="47"/>
      <c r="D69" s="47"/>
    </row>
    <row r="70" spans="3:4" s="21" customFormat="1" ht="12.95" customHeight="1">
      <c r="C70" s="47"/>
      <c r="D70" s="47"/>
    </row>
    <row r="71" spans="3:4" s="21" customFormat="1" ht="12.95" customHeight="1">
      <c r="C71" s="47"/>
      <c r="D71" s="47"/>
    </row>
    <row r="72" spans="3:4" s="21" customFormat="1" ht="12.95" customHeight="1">
      <c r="C72" s="47"/>
      <c r="D72" s="47"/>
    </row>
    <row r="73" spans="3:4" s="21" customFormat="1" ht="12.95" customHeight="1">
      <c r="C73" s="47"/>
      <c r="D73" s="47"/>
    </row>
    <row r="74" spans="3:4" s="21" customFormat="1" ht="12.95" customHeight="1">
      <c r="C74" s="47"/>
      <c r="D74" s="47"/>
    </row>
    <row r="75" spans="3:4" s="21" customFormat="1" ht="12.95" customHeight="1">
      <c r="C75" s="47"/>
      <c r="D75" s="47"/>
    </row>
    <row r="76" spans="3:4" s="21" customFormat="1" ht="12.95" customHeight="1">
      <c r="C76" s="47"/>
      <c r="D76" s="47"/>
    </row>
    <row r="77" spans="3:4" s="21" customFormat="1" ht="12.95" customHeight="1">
      <c r="C77" s="47"/>
      <c r="D77" s="47"/>
    </row>
    <row r="78" spans="3:4" s="21" customFormat="1" ht="12.95" customHeight="1">
      <c r="C78" s="47"/>
      <c r="D78" s="47"/>
    </row>
    <row r="79" spans="3:4" s="21" customFormat="1" ht="12.95" customHeight="1">
      <c r="C79" s="47"/>
      <c r="D79" s="47"/>
    </row>
    <row r="80" spans="3:4" s="21" customFormat="1" ht="12.95" customHeight="1">
      <c r="C80" s="47"/>
      <c r="D80" s="47"/>
    </row>
    <row r="81" spans="3:4" s="21" customFormat="1" ht="12.95" customHeight="1">
      <c r="C81" s="47"/>
      <c r="D81" s="47"/>
    </row>
    <row r="82" spans="3:4" s="21" customFormat="1" ht="12.95" customHeight="1">
      <c r="C82" s="47"/>
      <c r="D82" s="47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</sheetData>
  <protectedRanges>
    <protectedRange sqref="A44:D44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9"/>
  <sheetViews>
    <sheetView topLeftCell="A5" workbookViewId="0">
      <selection activeCell="A23" sqref="A23:D27"/>
    </sheetView>
  </sheetViews>
  <sheetFormatPr defaultRowHeight="12.75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>
      <c r="A1" s="8" t="s">
        <v>64</v>
      </c>
      <c r="I1" s="9" t="s">
        <v>65</v>
      </c>
      <c r="J1" s="10" t="s">
        <v>66</v>
      </c>
    </row>
    <row r="2" spans="1:16">
      <c r="I2" s="11" t="s">
        <v>67</v>
      </c>
      <c r="J2" s="12" t="s">
        <v>68</v>
      </c>
    </row>
    <row r="3" spans="1:16">
      <c r="A3" s="13" t="s">
        <v>69</v>
      </c>
      <c r="I3" s="11" t="s">
        <v>70</v>
      </c>
      <c r="J3" s="12" t="s">
        <v>71</v>
      </c>
    </row>
    <row r="4" spans="1:16">
      <c r="I4" s="11" t="s">
        <v>72</v>
      </c>
      <c r="J4" s="12" t="s">
        <v>71</v>
      </c>
    </row>
    <row r="5" spans="1:16" ht="13.5" thickBot="1">
      <c r="I5" s="14" t="s">
        <v>73</v>
      </c>
      <c r="J5" s="15" t="s">
        <v>74</v>
      </c>
    </row>
    <row r="10" spans="1:16" ht="13.5" thickBot="1"/>
    <row r="11" spans="1:16" ht="12.75" customHeight="1" thickBot="1">
      <c r="A11" s="2" t="str">
        <f t="shared" ref="A11:A27" si="0">P11</f>
        <v> BBS 94 </v>
      </c>
      <c r="B11" s="4" t="str">
        <f t="shared" ref="B11:B27" si="1">IF(H11=INT(H11),"I","II")</f>
        <v>I</v>
      </c>
      <c r="C11" s="2">
        <f t="shared" ref="C11:C27" si="2">1*G11</f>
        <v>47942.701000000001</v>
      </c>
      <c r="D11" s="3" t="str">
        <f t="shared" ref="D11:D27" si="3">VLOOKUP(F11,I$1:J$5,2,FALSE)</f>
        <v>vis</v>
      </c>
      <c r="E11" s="16">
        <f>VLOOKUP(C11,Active!C$21:E$973,3,FALSE)</f>
        <v>1538.0033806089866</v>
      </c>
      <c r="F11" s="4" t="s">
        <v>73</v>
      </c>
      <c r="G11" s="3" t="str">
        <f t="shared" ref="G11:G27" si="4">MID(I11,3,LEN(I11)-3)</f>
        <v>47942.701</v>
      </c>
      <c r="H11" s="2">
        <f t="shared" ref="H11:H27" si="5">1*K11</f>
        <v>1538</v>
      </c>
      <c r="I11" s="17" t="s">
        <v>75</v>
      </c>
      <c r="J11" s="18" t="s">
        <v>76</v>
      </c>
      <c r="K11" s="17">
        <v>1538</v>
      </c>
      <c r="L11" s="17" t="s">
        <v>77</v>
      </c>
      <c r="M11" s="18" t="s">
        <v>78</v>
      </c>
      <c r="N11" s="18"/>
      <c r="O11" s="19" t="s">
        <v>79</v>
      </c>
      <c r="P11" s="19" t="s">
        <v>80</v>
      </c>
    </row>
    <row r="12" spans="1:16" ht="12.75" customHeight="1" thickBot="1">
      <c r="A12" s="2" t="str">
        <f t="shared" si="0"/>
        <v> BBS 99 </v>
      </c>
      <c r="B12" s="4" t="str">
        <f t="shared" si="1"/>
        <v>I</v>
      </c>
      <c r="C12" s="2">
        <f t="shared" si="2"/>
        <v>48508.498</v>
      </c>
      <c r="D12" s="3" t="str">
        <f t="shared" si="3"/>
        <v>vis</v>
      </c>
      <c r="E12" s="16">
        <f>VLOOKUP(C12,Active!C$21:E$973,3,FALSE)</f>
        <v>1852.0097541174962</v>
      </c>
      <c r="F12" s="4" t="s">
        <v>73</v>
      </c>
      <c r="G12" s="3" t="str">
        <f t="shared" si="4"/>
        <v>48508.498</v>
      </c>
      <c r="H12" s="2">
        <f t="shared" si="5"/>
        <v>1852</v>
      </c>
      <c r="I12" s="17" t="s">
        <v>81</v>
      </c>
      <c r="J12" s="18" t="s">
        <v>82</v>
      </c>
      <c r="K12" s="17">
        <v>1852</v>
      </c>
      <c r="L12" s="17" t="s">
        <v>83</v>
      </c>
      <c r="M12" s="18" t="s">
        <v>78</v>
      </c>
      <c r="N12" s="18"/>
      <c r="O12" s="19" t="s">
        <v>79</v>
      </c>
      <c r="P12" s="19" t="s">
        <v>84</v>
      </c>
    </row>
    <row r="13" spans="1:16" ht="12.75" customHeight="1" thickBot="1">
      <c r="A13" s="2" t="str">
        <f t="shared" si="0"/>
        <v> BBS 109 </v>
      </c>
      <c r="B13" s="4" t="str">
        <f t="shared" si="1"/>
        <v>I</v>
      </c>
      <c r="C13" s="2">
        <f t="shared" si="2"/>
        <v>49836.472000000002</v>
      </c>
      <c r="D13" s="3" t="str">
        <f t="shared" si="3"/>
        <v>vis</v>
      </c>
      <c r="E13" s="16">
        <f>VLOOKUP(C13,Active!C$21:E$973,3,FALSE)</f>
        <v>2589.0095965584974</v>
      </c>
      <c r="F13" s="4" t="s">
        <v>73</v>
      </c>
      <c r="G13" s="3" t="str">
        <f t="shared" si="4"/>
        <v>49836.472</v>
      </c>
      <c r="H13" s="2">
        <f t="shared" si="5"/>
        <v>2589</v>
      </c>
      <c r="I13" s="17" t="s">
        <v>85</v>
      </c>
      <c r="J13" s="18" t="s">
        <v>86</v>
      </c>
      <c r="K13" s="17">
        <v>2589</v>
      </c>
      <c r="L13" s="17" t="s">
        <v>87</v>
      </c>
      <c r="M13" s="18" t="s">
        <v>78</v>
      </c>
      <c r="N13" s="18"/>
      <c r="O13" s="19" t="s">
        <v>79</v>
      </c>
      <c r="P13" s="19" t="s">
        <v>88</v>
      </c>
    </row>
    <row r="14" spans="1:16" ht="12.75" customHeight="1" thickBot="1">
      <c r="A14" s="2" t="str">
        <f t="shared" si="0"/>
        <v>IBVS 4888 </v>
      </c>
      <c r="B14" s="4" t="str">
        <f t="shared" si="1"/>
        <v>I</v>
      </c>
      <c r="C14" s="2">
        <f t="shared" si="2"/>
        <v>50899.569499999998</v>
      </c>
      <c r="D14" s="3" t="str">
        <f t="shared" si="3"/>
        <v>vis</v>
      </c>
      <c r="E14" s="16">
        <f>VLOOKUP(C14,Active!C$21:E$973,3,FALSE)</f>
        <v>3179.0081130952808</v>
      </c>
      <c r="F14" s="4" t="s">
        <v>73</v>
      </c>
      <c r="G14" s="3" t="str">
        <f t="shared" si="4"/>
        <v>50899.5695</v>
      </c>
      <c r="H14" s="2">
        <f t="shared" si="5"/>
        <v>3179</v>
      </c>
      <c r="I14" s="17" t="s">
        <v>96</v>
      </c>
      <c r="J14" s="18" t="s">
        <v>97</v>
      </c>
      <c r="K14" s="17">
        <v>3179</v>
      </c>
      <c r="L14" s="17" t="s">
        <v>98</v>
      </c>
      <c r="M14" s="18" t="s">
        <v>92</v>
      </c>
      <c r="N14" s="18" t="s">
        <v>93</v>
      </c>
      <c r="O14" s="19" t="s">
        <v>99</v>
      </c>
      <c r="P14" s="20" t="s">
        <v>100</v>
      </c>
    </row>
    <row r="15" spans="1:16" ht="12.75" customHeight="1" thickBot="1">
      <c r="A15" s="2" t="str">
        <f t="shared" si="0"/>
        <v>IBVS 4888 </v>
      </c>
      <c r="B15" s="4" t="str">
        <f t="shared" si="1"/>
        <v>I</v>
      </c>
      <c r="C15" s="2">
        <f t="shared" si="2"/>
        <v>51045.521099999998</v>
      </c>
      <c r="D15" s="3" t="str">
        <f t="shared" si="3"/>
        <v>vis</v>
      </c>
      <c r="E15" s="16">
        <f>VLOOKUP(C15,Active!C$21:E$973,3,FALSE)</f>
        <v>3260.0084234959454</v>
      </c>
      <c r="F15" s="4" t="s">
        <v>73</v>
      </c>
      <c r="G15" s="3" t="str">
        <f t="shared" si="4"/>
        <v>51045.5211</v>
      </c>
      <c r="H15" s="2">
        <f t="shared" si="5"/>
        <v>3260</v>
      </c>
      <c r="I15" s="17" t="s">
        <v>101</v>
      </c>
      <c r="J15" s="18" t="s">
        <v>102</v>
      </c>
      <c r="K15" s="17">
        <v>3260</v>
      </c>
      <c r="L15" s="17" t="s">
        <v>103</v>
      </c>
      <c r="M15" s="18" t="s">
        <v>92</v>
      </c>
      <c r="N15" s="18" t="s">
        <v>93</v>
      </c>
      <c r="O15" s="19" t="s">
        <v>104</v>
      </c>
      <c r="P15" s="20" t="s">
        <v>100</v>
      </c>
    </row>
    <row r="16" spans="1:16" ht="12.75" customHeight="1" thickBot="1">
      <c r="A16" s="2" t="str">
        <f t="shared" si="0"/>
        <v>IBVS 5676 </v>
      </c>
      <c r="B16" s="4" t="str">
        <f t="shared" si="1"/>
        <v>I</v>
      </c>
      <c r="C16" s="2">
        <f t="shared" si="2"/>
        <v>52829.368699999999</v>
      </c>
      <c r="D16" s="3" t="str">
        <f t="shared" si="3"/>
        <v>vis</v>
      </c>
      <c r="E16" s="16">
        <f>VLOOKUP(C16,Active!C$21:E$973,3,FALSE)</f>
        <v>4250.0092820509753</v>
      </c>
      <c r="F16" s="4" t="s">
        <v>73</v>
      </c>
      <c r="G16" s="3" t="str">
        <f t="shared" si="4"/>
        <v>52829.3687</v>
      </c>
      <c r="H16" s="2">
        <f t="shared" si="5"/>
        <v>4250</v>
      </c>
      <c r="I16" s="17" t="s">
        <v>108</v>
      </c>
      <c r="J16" s="18" t="s">
        <v>109</v>
      </c>
      <c r="K16" s="17">
        <v>4250</v>
      </c>
      <c r="L16" s="17" t="s">
        <v>110</v>
      </c>
      <c r="M16" s="18" t="s">
        <v>92</v>
      </c>
      <c r="N16" s="18" t="s">
        <v>93</v>
      </c>
      <c r="O16" s="19" t="s">
        <v>111</v>
      </c>
      <c r="P16" s="20" t="s">
        <v>112</v>
      </c>
    </row>
    <row r="17" spans="1:16" ht="12.75" customHeight="1" thickBot="1">
      <c r="A17" s="2" t="str">
        <f t="shared" si="0"/>
        <v> BBS 130 </v>
      </c>
      <c r="B17" s="4" t="str">
        <f t="shared" si="1"/>
        <v>I</v>
      </c>
      <c r="C17" s="2">
        <f t="shared" si="2"/>
        <v>53137.48</v>
      </c>
      <c r="D17" s="3" t="str">
        <f t="shared" si="3"/>
        <v>vis</v>
      </c>
      <c r="E17" s="16">
        <f>VLOOKUP(C17,Active!C$21:E$973,3,FALSE)</f>
        <v>4421.0050843440131</v>
      </c>
      <c r="F17" s="4" t="s">
        <v>73</v>
      </c>
      <c r="G17" s="3" t="str">
        <f t="shared" si="4"/>
        <v>53137.480</v>
      </c>
      <c r="H17" s="2">
        <f t="shared" si="5"/>
        <v>4421</v>
      </c>
      <c r="I17" s="17" t="s">
        <v>116</v>
      </c>
      <c r="J17" s="18" t="s">
        <v>117</v>
      </c>
      <c r="K17" s="17">
        <v>4421</v>
      </c>
      <c r="L17" s="17" t="s">
        <v>118</v>
      </c>
      <c r="M17" s="18" t="s">
        <v>78</v>
      </c>
      <c r="N17" s="18"/>
      <c r="O17" s="19" t="s">
        <v>79</v>
      </c>
      <c r="P17" s="19" t="s">
        <v>119</v>
      </c>
    </row>
    <row r="18" spans="1:16" ht="12.75" customHeight="1" thickBot="1">
      <c r="A18" s="2" t="str">
        <f t="shared" si="0"/>
        <v>OEJV 0003 </v>
      </c>
      <c r="B18" s="4" t="str">
        <f t="shared" si="1"/>
        <v>I</v>
      </c>
      <c r="C18" s="2">
        <f t="shared" si="2"/>
        <v>53256.41</v>
      </c>
      <c r="D18" s="3" t="str">
        <f t="shared" si="3"/>
        <v>vis</v>
      </c>
      <c r="E18" s="16">
        <f>VLOOKUP(C18,Active!C$21:E$973,3,FALSE)</f>
        <v>4487.0089302487586</v>
      </c>
      <c r="F18" s="4" t="s">
        <v>73</v>
      </c>
      <c r="G18" s="3" t="str">
        <f t="shared" si="4"/>
        <v>53256.410</v>
      </c>
      <c r="H18" s="2">
        <f t="shared" si="5"/>
        <v>4487</v>
      </c>
      <c r="I18" s="17" t="s">
        <v>120</v>
      </c>
      <c r="J18" s="18" t="s">
        <v>121</v>
      </c>
      <c r="K18" s="17">
        <v>4487</v>
      </c>
      <c r="L18" s="17" t="s">
        <v>122</v>
      </c>
      <c r="M18" s="18" t="s">
        <v>78</v>
      </c>
      <c r="N18" s="18"/>
      <c r="O18" s="19" t="s">
        <v>79</v>
      </c>
      <c r="P18" s="20" t="s">
        <v>123</v>
      </c>
    </row>
    <row r="19" spans="1:16" ht="12.75" customHeight="1" thickBot="1">
      <c r="A19" s="2" t="str">
        <f t="shared" si="0"/>
        <v>IBVS 6007 </v>
      </c>
      <c r="B19" s="4" t="str">
        <f t="shared" si="1"/>
        <v>I</v>
      </c>
      <c r="C19" s="2">
        <f t="shared" si="2"/>
        <v>55456.491170000001</v>
      </c>
      <c r="D19" s="3" t="str">
        <f t="shared" si="3"/>
        <v>vis</v>
      </c>
      <c r="E19" s="16">
        <f>VLOOKUP(C19,Active!C$21:E$973,3,FALSE)</f>
        <v>5708.0113562355691</v>
      </c>
      <c r="F19" s="4" t="s">
        <v>73</v>
      </c>
      <c r="G19" s="3" t="str">
        <f t="shared" si="4"/>
        <v>55456.49117</v>
      </c>
      <c r="H19" s="2">
        <f t="shared" si="5"/>
        <v>5708</v>
      </c>
      <c r="I19" s="17" t="s">
        <v>131</v>
      </c>
      <c r="J19" s="18" t="s">
        <v>132</v>
      </c>
      <c r="K19" s="17">
        <v>5708</v>
      </c>
      <c r="L19" s="17" t="s">
        <v>133</v>
      </c>
      <c r="M19" s="18" t="s">
        <v>127</v>
      </c>
      <c r="N19" s="18" t="s">
        <v>128</v>
      </c>
      <c r="O19" s="19" t="s">
        <v>134</v>
      </c>
      <c r="P19" s="20" t="s">
        <v>135</v>
      </c>
    </row>
    <row r="20" spans="1:16" ht="12.75" customHeight="1" thickBot="1">
      <c r="A20" s="2" t="str">
        <f t="shared" si="0"/>
        <v>BAVM 220 </v>
      </c>
      <c r="B20" s="4" t="str">
        <f t="shared" si="1"/>
        <v>I</v>
      </c>
      <c r="C20" s="2">
        <f t="shared" si="2"/>
        <v>55674.517200000002</v>
      </c>
      <c r="D20" s="3" t="str">
        <f t="shared" si="3"/>
        <v>vis</v>
      </c>
      <c r="E20" s="16">
        <f>VLOOKUP(C20,Active!C$21:E$973,3,FALSE)</f>
        <v>5829.0115789492957</v>
      </c>
      <c r="F20" s="4" t="s">
        <v>73</v>
      </c>
      <c r="G20" s="3" t="str">
        <f t="shared" si="4"/>
        <v>55674.5172</v>
      </c>
      <c r="H20" s="2">
        <f t="shared" si="5"/>
        <v>5829</v>
      </c>
      <c r="I20" s="17" t="s">
        <v>136</v>
      </c>
      <c r="J20" s="18" t="s">
        <v>137</v>
      </c>
      <c r="K20" s="17">
        <v>5829</v>
      </c>
      <c r="L20" s="17" t="s">
        <v>138</v>
      </c>
      <c r="M20" s="18" t="s">
        <v>127</v>
      </c>
      <c r="N20" s="18" t="s">
        <v>139</v>
      </c>
      <c r="O20" s="19" t="s">
        <v>140</v>
      </c>
      <c r="P20" s="20" t="s">
        <v>141</v>
      </c>
    </row>
    <row r="21" spans="1:16" ht="12.75" customHeight="1" thickBot="1">
      <c r="A21" s="2" t="str">
        <f t="shared" si="0"/>
        <v>BAVM 228 </v>
      </c>
      <c r="B21" s="4" t="str">
        <f t="shared" si="1"/>
        <v>II</v>
      </c>
      <c r="C21" s="2">
        <f t="shared" si="2"/>
        <v>56075.430800000002</v>
      </c>
      <c r="D21" s="3" t="str">
        <f t="shared" si="3"/>
        <v>vis</v>
      </c>
      <c r="E21" s="16">
        <f>VLOOKUP(C21,Active!C$21:E$973,3,FALSE)</f>
        <v>6051.5108598331481</v>
      </c>
      <c r="F21" s="4" t="s">
        <v>73</v>
      </c>
      <c r="G21" s="3" t="str">
        <f t="shared" si="4"/>
        <v>56075.4308</v>
      </c>
      <c r="H21" s="2">
        <f t="shared" si="5"/>
        <v>6051.5</v>
      </c>
      <c r="I21" s="17" t="s">
        <v>149</v>
      </c>
      <c r="J21" s="18" t="s">
        <v>150</v>
      </c>
      <c r="K21" s="17" t="s">
        <v>151</v>
      </c>
      <c r="L21" s="17" t="s">
        <v>152</v>
      </c>
      <c r="M21" s="18" t="s">
        <v>127</v>
      </c>
      <c r="N21" s="18" t="s">
        <v>146</v>
      </c>
      <c r="O21" s="19" t="s">
        <v>147</v>
      </c>
      <c r="P21" s="20" t="s">
        <v>153</v>
      </c>
    </row>
    <row r="22" spans="1:16" ht="12.75" customHeight="1" thickBot="1">
      <c r="A22" s="2" t="str">
        <f t="shared" si="0"/>
        <v>BAVM 231 </v>
      </c>
      <c r="B22" s="4" t="str">
        <f t="shared" si="1"/>
        <v>I</v>
      </c>
      <c r="C22" s="2">
        <f t="shared" si="2"/>
        <v>56157.415099999998</v>
      </c>
      <c r="D22" s="3" t="str">
        <f t="shared" si="3"/>
        <v>vis</v>
      </c>
      <c r="E22" s="16">
        <f>VLOOKUP(C22,Active!C$21:E$973,3,FALSE)</f>
        <v>6097.010558006933</v>
      </c>
      <c r="F22" s="4" t="s">
        <v>73</v>
      </c>
      <c r="G22" s="3" t="str">
        <f t="shared" si="4"/>
        <v>56157.4151</v>
      </c>
      <c r="H22" s="2">
        <f t="shared" si="5"/>
        <v>6097</v>
      </c>
      <c r="I22" s="17" t="s">
        <v>154</v>
      </c>
      <c r="J22" s="18" t="s">
        <v>155</v>
      </c>
      <c r="K22" s="17" t="s">
        <v>156</v>
      </c>
      <c r="L22" s="17" t="s">
        <v>157</v>
      </c>
      <c r="M22" s="18" t="s">
        <v>127</v>
      </c>
      <c r="N22" s="18" t="s">
        <v>146</v>
      </c>
      <c r="O22" s="19" t="s">
        <v>147</v>
      </c>
      <c r="P22" s="20" t="s">
        <v>158</v>
      </c>
    </row>
    <row r="23" spans="1:16" ht="12.75" customHeight="1" thickBot="1">
      <c r="A23" s="2" t="str">
        <f t="shared" si="0"/>
        <v> BBS 113 </v>
      </c>
      <c r="B23" s="4" t="str">
        <f t="shared" si="1"/>
        <v>I</v>
      </c>
      <c r="C23" s="2">
        <f t="shared" si="2"/>
        <v>50337.387900000002</v>
      </c>
      <c r="D23" s="3" t="str">
        <f t="shared" si="3"/>
        <v>vis</v>
      </c>
      <c r="E23" s="16">
        <f>VLOOKUP(C23,Active!C$21:E$973,3,FALSE)</f>
        <v>2867.0082165436716</v>
      </c>
      <c r="F23" s="4" t="s">
        <v>73</v>
      </c>
      <c r="G23" s="3" t="str">
        <f t="shared" si="4"/>
        <v>50337.3879</v>
      </c>
      <c r="H23" s="2">
        <f t="shared" si="5"/>
        <v>2867</v>
      </c>
      <c r="I23" s="17" t="s">
        <v>89</v>
      </c>
      <c r="J23" s="18" t="s">
        <v>90</v>
      </c>
      <c r="K23" s="17">
        <v>2867</v>
      </c>
      <c r="L23" s="17" t="s">
        <v>91</v>
      </c>
      <c r="M23" s="18" t="s">
        <v>92</v>
      </c>
      <c r="N23" s="18" t="s">
        <v>93</v>
      </c>
      <c r="O23" s="19" t="s">
        <v>94</v>
      </c>
      <c r="P23" s="19" t="s">
        <v>95</v>
      </c>
    </row>
    <row r="24" spans="1:16" ht="12.75" customHeight="1" thickBot="1">
      <c r="A24" s="2" t="str">
        <f t="shared" si="0"/>
        <v> BBS 125 </v>
      </c>
      <c r="B24" s="4" t="str">
        <f t="shared" si="1"/>
        <v>I</v>
      </c>
      <c r="C24" s="2">
        <f t="shared" si="2"/>
        <v>52000.508999999998</v>
      </c>
      <c r="D24" s="3" t="str">
        <f t="shared" si="3"/>
        <v>vis</v>
      </c>
      <c r="E24" s="16">
        <f>VLOOKUP(C24,Active!C$21:E$973,3,FALSE)</f>
        <v>3790.0082064985204</v>
      </c>
      <c r="F24" s="4" t="s">
        <v>73</v>
      </c>
      <c r="G24" s="3" t="str">
        <f t="shared" si="4"/>
        <v>52000.5090</v>
      </c>
      <c r="H24" s="2">
        <f t="shared" si="5"/>
        <v>3790</v>
      </c>
      <c r="I24" s="17" t="s">
        <v>105</v>
      </c>
      <c r="J24" s="18" t="s">
        <v>106</v>
      </c>
      <c r="K24" s="17">
        <v>3790</v>
      </c>
      <c r="L24" s="17" t="s">
        <v>91</v>
      </c>
      <c r="M24" s="18" t="s">
        <v>92</v>
      </c>
      <c r="N24" s="18" t="s">
        <v>93</v>
      </c>
      <c r="O24" s="19" t="s">
        <v>94</v>
      </c>
      <c r="P24" s="19" t="s">
        <v>107</v>
      </c>
    </row>
    <row r="25" spans="1:16" ht="12.75" customHeight="1" thickBot="1">
      <c r="A25" s="2" t="str">
        <f t="shared" si="0"/>
        <v>IBVS 5676 </v>
      </c>
      <c r="B25" s="4" t="str">
        <f t="shared" si="1"/>
        <v>I</v>
      </c>
      <c r="C25" s="2">
        <f t="shared" si="2"/>
        <v>53081.630100000002</v>
      </c>
      <c r="D25" s="3" t="str">
        <f t="shared" si="3"/>
        <v>vis</v>
      </c>
      <c r="E25" s="16">
        <f>VLOOKUP(C25,Active!C$21:E$973,3,FALSE)</f>
        <v>4390.0094718543505</v>
      </c>
      <c r="F25" s="4" t="s">
        <v>73</v>
      </c>
      <c r="G25" s="3" t="str">
        <f t="shared" si="4"/>
        <v>53081.6301</v>
      </c>
      <c r="H25" s="2">
        <f t="shared" si="5"/>
        <v>4390</v>
      </c>
      <c r="I25" s="17" t="s">
        <v>113</v>
      </c>
      <c r="J25" s="18" t="s">
        <v>114</v>
      </c>
      <c r="K25" s="17">
        <v>4390</v>
      </c>
      <c r="L25" s="17" t="s">
        <v>115</v>
      </c>
      <c r="M25" s="18" t="s">
        <v>92</v>
      </c>
      <c r="N25" s="18" t="s">
        <v>93</v>
      </c>
      <c r="O25" s="19" t="s">
        <v>111</v>
      </c>
      <c r="P25" s="20" t="s">
        <v>112</v>
      </c>
    </row>
    <row r="26" spans="1:16" ht="12.75" customHeight="1" thickBot="1">
      <c r="A26" s="2" t="str">
        <f t="shared" si="0"/>
        <v>OEJV 0107 </v>
      </c>
      <c r="B26" s="4" t="str">
        <f t="shared" si="1"/>
        <v>I</v>
      </c>
      <c r="C26" s="2">
        <f t="shared" si="2"/>
        <v>53818.594599999997</v>
      </c>
      <c r="D26" s="3" t="str">
        <f t="shared" si="3"/>
        <v>vis</v>
      </c>
      <c r="E26" s="16">
        <f>VLOOKUP(C26,Active!C$21:E$973,3,FALSE)</f>
        <v>4799.010491742245</v>
      </c>
      <c r="F26" s="4" t="s">
        <v>73</v>
      </c>
      <c r="G26" s="3" t="str">
        <f t="shared" si="4"/>
        <v>53818.5946</v>
      </c>
      <c r="H26" s="2">
        <f t="shared" si="5"/>
        <v>4799</v>
      </c>
      <c r="I26" s="17" t="s">
        <v>124</v>
      </c>
      <c r="J26" s="18" t="s">
        <v>125</v>
      </c>
      <c r="K26" s="17">
        <v>4799</v>
      </c>
      <c r="L26" s="17" t="s">
        <v>126</v>
      </c>
      <c r="M26" s="18" t="s">
        <v>127</v>
      </c>
      <c r="N26" s="18" t="s">
        <v>128</v>
      </c>
      <c r="O26" s="19" t="s">
        <v>129</v>
      </c>
      <c r="P26" s="20" t="s">
        <v>130</v>
      </c>
    </row>
    <row r="27" spans="1:16" ht="12.75" customHeight="1" thickBot="1">
      <c r="A27" s="2" t="str">
        <f t="shared" si="0"/>
        <v>BAVM 225 </v>
      </c>
      <c r="B27" s="4" t="str">
        <f t="shared" si="1"/>
        <v>I</v>
      </c>
      <c r="C27" s="2">
        <f t="shared" si="2"/>
        <v>55867.316400000003</v>
      </c>
      <c r="D27" s="3" t="str">
        <f t="shared" si="3"/>
        <v>vis</v>
      </c>
      <c r="E27" s="16">
        <f>VLOOKUP(C27,Active!C$21:E$973,3,FALSE)</f>
        <v>5936.0113997460512</v>
      </c>
      <c r="F27" s="4" t="s">
        <v>73</v>
      </c>
      <c r="G27" s="3" t="str">
        <f t="shared" si="4"/>
        <v>55867.3164</v>
      </c>
      <c r="H27" s="2">
        <f t="shared" si="5"/>
        <v>5936</v>
      </c>
      <c r="I27" s="17" t="s">
        <v>142</v>
      </c>
      <c r="J27" s="18" t="s">
        <v>143</v>
      </c>
      <c r="K27" s="17" t="s">
        <v>144</v>
      </c>
      <c r="L27" s="17" t="s">
        <v>145</v>
      </c>
      <c r="M27" s="18" t="s">
        <v>127</v>
      </c>
      <c r="N27" s="18" t="s">
        <v>146</v>
      </c>
      <c r="O27" s="19" t="s">
        <v>147</v>
      </c>
      <c r="P27" s="20" t="s">
        <v>148</v>
      </c>
    </row>
    <row r="28" spans="1:16">
      <c r="B28" s="4"/>
      <c r="F28" s="4"/>
    </row>
    <row r="29" spans="1:16">
      <c r="B29" s="4"/>
      <c r="F29" s="4"/>
    </row>
    <row r="30" spans="1:16">
      <c r="B30" s="4"/>
      <c r="F30" s="4"/>
    </row>
    <row r="31" spans="1:16">
      <c r="B31" s="4"/>
      <c r="F31" s="4"/>
    </row>
    <row r="32" spans="1:16">
      <c r="B32" s="4"/>
      <c r="F32" s="4"/>
    </row>
    <row r="33" spans="2:6">
      <c r="B33" s="4"/>
      <c r="F33" s="4"/>
    </row>
    <row r="34" spans="2:6">
      <c r="B34" s="4"/>
      <c r="F34" s="4"/>
    </row>
    <row r="35" spans="2:6">
      <c r="B35" s="4"/>
      <c r="F35" s="4"/>
    </row>
    <row r="36" spans="2:6">
      <c r="B36" s="4"/>
      <c r="F36" s="4"/>
    </row>
    <row r="37" spans="2:6">
      <c r="B37" s="4"/>
      <c r="F37" s="4"/>
    </row>
    <row r="38" spans="2:6">
      <c r="B38" s="4"/>
      <c r="F38" s="4"/>
    </row>
    <row r="39" spans="2:6">
      <c r="B39" s="4"/>
      <c r="F39" s="4"/>
    </row>
    <row r="40" spans="2:6">
      <c r="B40" s="4"/>
      <c r="F40" s="4"/>
    </row>
    <row r="41" spans="2:6">
      <c r="B41" s="4"/>
      <c r="F41" s="4"/>
    </row>
    <row r="42" spans="2:6">
      <c r="B42" s="4"/>
      <c r="F42" s="4"/>
    </row>
    <row r="43" spans="2:6">
      <c r="B43" s="4"/>
      <c r="F43" s="4"/>
    </row>
    <row r="44" spans="2:6">
      <c r="B44" s="4"/>
      <c r="F44" s="4"/>
    </row>
    <row r="45" spans="2:6">
      <c r="B45" s="4"/>
      <c r="F45" s="4"/>
    </row>
    <row r="46" spans="2:6">
      <c r="B46" s="4"/>
      <c r="F46" s="4"/>
    </row>
    <row r="47" spans="2:6">
      <c r="B47" s="4"/>
      <c r="F47" s="4"/>
    </row>
    <row r="48" spans="2:6">
      <c r="B48" s="4"/>
      <c r="F48" s="4"/>
    </row>
    <row r="49" spans="2:6">
      <c r="B49" s="4"/>
      <c r="F49" s="4"/>
    </row>
    <row r="50" spans="2:6">
      <c r="B50" s="4"/>
      <c r="F50" s="4"/>
    </row>
    <row r="51" spans="2:6">
      <c r="B51" s="4"/>
      <c r="F51" s="4"/>
    </row>
    <row r="52" spans="2:6">
      <c r="B52" s="4"/>
      <c r="F52" s="4"/>
    </row>
    <row r="53" spans="2:6">
      <c r="B53" s="4"/>
      <c r="F53" s="4"/>
    </row>
    <row r="54" spans="2:6">
      <c r="B54" s="4"/>
      <c r="F54" s="4"/>
    </row>
    <row r="55" spans="2:6">
      <c r="B55" s="4"/>
      <c r="F55" s="4"/>
    </row>
    <row r="56" spans="2:6">
      <c r="B56" s="4"/>
      <c r="F56" s="4"/>
    </row>
    <row r="57" spans="2:6">
      <c r="B57" s="4"/>
      <c r="F57" s="4"/>
    </row>
    <row r="58" spans="2:6">
      <c r="B58" s="4"/>
      <c r="F58" s="4"/>
    </row>
    <row r="59" spans="2:6">
      <c r="B59" s="4"/>
      <c r="F59" s="4"/>
    </row>
    <row r="60" spans="2:6">
      <c r="B60" s="4"/>
      <c r="F60" s="4"/>
    </row>
    <row r="61" spans="2:6">
      <c r="B61" s="4"/>
      <c r="F61" s="4"/>
    </row>
    <row r="62" spans="2:6">
      <c r="B62" s="4"/>
      <c r="F62" s="4"/>
    </row>
    <row r="63" spans="2:6">
      <c r="B63" s="4"/>
      <c r="F63" s="4"/>
    </row>
    <row r="64" spans="2: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</sheetData>
  <phoneticPr fontId="8" type="noConversion"/>
  <hyperlinks>
    <hyperlink ref="P14" r:id="rId1" display="http://www.konkoly.hu/cgi-bin/IBVS?4888"/>
    <hyperlink ref="P15" r:id="rId2" display="http://www.konkoly.hu/cgi-bin/IBVS?4888"/>
    <hyperlink ref="P16" r:id="rId3" display="http://www.konkoly.hu/cgi-bin/IBVS?5676"/>
    <hyperlink ref="P25" r:id="rId4" display="http://www.konkoly.hu/cgi-bin/IBVS?5676"/>
    <hyperlink ref="P18" r:id="rId5" display="http://var.astro.cz/oejv/issues/oejv0003.pdf"/>
    <hyperlink ref="P26" r:id="rId6" display="http://var.astro.cz/oejv/issues/oejv0107.pdf"/>
    <hyperlink ref="P19" r:id="rId7" display="http://www.konkoly.hu/cgi-bin/IBVS?6007"/>
    <hyperlink ref="P20" r:id="rId8" display="http://www.bav-astro.de/sfs/BAVM_link.php?BAVMnr=220"/>
    <hyperlink ref="P27" r:id="rId9" display="http://www.bav-astro.de/sfs/BAVM_link.php?BAVMnr=225"/>
    <hyperlink ref="P21" r:id="rId10" display="http://www.bav-astro.de/sfs/BAVM_link.php?BAVMnr=228"/>
    <hyperlink ref="P22" r:id="rId11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2024-01-17T05:43:14Z</dcterms:modified>
</cp:coreProperties>
</file>