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C19D9AF-3DB1-48F5-88C0-BA707A2DC2C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6" i="2" l="1"/>
  <c r="C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C9" i="1"/>
  <c r="D9" i="1"/>
  <c r="Q27" i="1"/>
  <c r="F16" i="1"/>
  <c r="F17" i="1" s="1"/>
  <c r="C17" i="1"/>
  <c r="E26" i="1"/>
  <c r="F26" i="1"/>
  <c r="G26" i="1"/>
  <c r="K26" i="1"/>
  <c r="Q26" i="1"/>
  <c r="E25" i="1"/>
  <c r="F25" i="1"/>
  <c r="Q24" i="1"/>
  <c r="Q25" i="1"/>
  <c r="E23" i="1"/>
  <c r="F23" i="1"/>
  <c r="Q23" i="1"/>
  <c r="E22" i="1"/>
  <c r="F22" i="1"/>
  <c r="G22" i="1"/>
  <c r="I22" i="1"/>
  <c r="Q22" i="1"/>
  <c r="C8" i="1"/>
  <c r="C7" i="1"/>
  <c r="E21" i="1"/>
  <c r="F21" i="1"/>
  <c r="Q21" i="1"/>
  <c r="E16" i="2"/>
  <c r="E24" i="1"/>
  <c r="F24" i="1"/>
  <c r="G24" i="1"/>
  <c r="K24" i="1"/>
  <c r="E27" i="1"/>
  <c r="F27" i="1"/>
  <c r="G27" i="1"/>
  <c r="K27" i="1"/>
  <c r="G23" i="1"/>
  <c r="G25" i="1"/>
  <c r="K25" i="1"/>
  <c r="K23" i="1"/>
  <c r="C11" i="1"/>
  <c r="C12" i="1"/>
  <c r="C16" i="1" l="1"/>
  <c r="D18" i="1" s="1"/>
  <c r="O25" i="1"/>
  <c r="O27" i="1"/>
  <c r="O21" i="1"/>
  <c r="O23" i="1"/>
  <c r="C15" i="1"/>
  <c r="O24" i="1"/>
  <c r="O26" i="1"/>
  <c r="O22" i="1"/>
  <c r="C18" i="1" l="1"/>
  <c r="F18" i="1"/>
  <c r="F19" i="1" s="1"/>
</calcChain>
</file>

<file path=xl/sharedStrings.xml><?xml version="1.0" encoding="utf-8"?>
<sst xmlns="http://schemas.openxmlformats.org/spreadsheetml/2006/main" count="122" uniqueCount="91">
  <si>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</si>
  <si>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</si>
  <si>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</si>
  <si>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</si>
  <si>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</si>
  <si>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</si>
  <si>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</si>
  <si>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</si>
  <si>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</si>
  <si>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</si>
  <si>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</si>
  <si>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</si>
  <si>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</si>
  <si>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</si>
  <si>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</si>
  <si>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</si>
  <si>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</si>
  <si>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</si>
  <si>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</si>
  <si>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</si>
  <si>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</si>
  <si>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</si>
  <si>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</si>
  <si>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</si>
  <si>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</si>
  <si>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</si>
  <si>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</si>
  <si>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</si>
  <si>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</si>
  <si>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</t>
  </si>
  <si>
    <t>B</t>
  </si>
  <si>
    <t>IBVS 5502</t>
  </si>
  <si>
    <t>I</t>
  </si>
  <si>
    <t># of data points:</t>
  </si>
  <si>
    <t>AA Eri / gsc 5315-0867?</t>
  </si>
  <si>
    <t>E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</si>
  <si>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</si>
  <si>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</si>
  <si>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</si>
  <si>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</si>
  <si>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</si>
  <si>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</si>
  <si>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5814</t>
  </si>
  <si>
    <t>Add cycle</t>
  </si>
  <si>
    <t>Old Cycle</t>
  </si>
  <si>
    <t>Start of linear fit &gt;&gt;&gt;&gt;&gt;&gt;&gt;&gt;&gt;&gt;&gt;&gt;&gt;&gt;&gt;&gt;&gt;&gt;&gt;&gt;&gt;</t>
  </si>
  <si>
    <t>IBVS 5960</t>
  </si>
  <si>
    <t>II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</si>
  <si>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</si>
  <si>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</si>
  <si>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</si>
  <si>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</si>
  <si>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</si>
  <si>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</si>
  <si>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</si>
  <si>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</si>
  <si>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</si>
  <si>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</si>
  <si>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2424801.80 </t>
  </si>
  <si>
    <t> 13.10.1926 07:12 </t>
  </si>
  <si>
    <t> 0.00 </t>
  </si>
  <si>
    <t>P </t>
  </si>
  <si>
    <t>  </t>
  </si>
  <si>
    <t> GCVS 1985 </t>
  </si>
  <si>
    <t>2449288.474 </t>
  </si>
  <si>
    <t> 27.10.1993 23:22 </t>
  </si>
  <si>
    <t> 0.118 </t>
  </si>
  <si>
    <t>E </t>
  </si>
  <si>
    <t>?</t>
  </si>
  <si>
    <t> A.Paschke </t>
  </si>
  <si>
    <t>IBVS 5653 </t>
  </si>
  <si>
    <t>2452980.691 </t>
  </si>
  <si>
    <t> 07.12.2003 04:35 </t>
  </si>
  <si>
    <t> 0.068 </t>
  </si>
  <si>
    <t> S.Dvorak </t>
  </si>
  <si>
    <t>IBVS 5502 </t>
  </si>
  <si>
    <t>2453350.314 </t>
  </si>
  <si>
    <t> 10.12.2004 19:32 </t>
  </si>
  <si>
    <t> 0.064 </t>
  </si>
  <si>
    <t>2453782.5389 </t>
  </si>
  <si>
    <t> 16.02.2006 00:56 </t>
  </si>
  <si>
    <t> 0.0554 </t>
  </si>
  <si>
    <t>C </t>
  </si>
  <si>
    <t>IBVS 5814 </t>
  </si>
  <si>
    <t>2455476.8857 </t>
  </si>
  <si>
    <t> 07.10.2010 09:15 </t>
  </si>
  <si>
    <t> 0.0266 </t>
  </si>
  <si>
    <t> R.Diethelm </t>
  </si>
  <si>
    <t>IBVS 5960 </t>
  </si>
  <si>
    <t>BAD?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</si>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</sst>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NumberFormat="1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Eri - O-C Diagr.</a:t>
            </a:r>
          </a:p>
        </c:rich>
      </c:tx>
      <c:layout>
        <c:manualLayout>
          <c:xMode val="edge"/>
          <c:yMode val="edge"/>
          <c:x val="0.3707056238223386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8222857763457"/>
          <c:y val="0.14769252958613219"/>
          <c:w val="0.7956607387092586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81-45AC-A2E3-59F6455074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0.11750000000029104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81-45AC-A2E3-59F6455074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81-45AC-A2E3-59F6455074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6.8299999998998828E-2</c:v>
                </c:pt>
                <c:pt idx="3">
                  <c:v>0.11750000000029104</c:v>
                </c:pt>
                <c:pt idx="4">
                  <c:v>6.3999999998486601E-2</c:v>
                </c:pt>
                <c:pt idx="5">
                  <c:v>5.5349999995087273E-2</c:v>
                </c:pt>
                <c:pt idx="6">
                  <c:v>2.659999999741558E-2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81-45AC-A2E3-59F6455074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81-45AC-A2E3-59F6455074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81-45AC-A2E3-59F6455074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81-45AC-A2E3-59F6455074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0.46700778737377791</c:v>
                </c:pt>
                <c:pt idx="1">
                  <c:v>0.1185968122481989</c:v>
                </c:pt>
                <c:pt idx="2">
                  <c:v>6.6060798572073531E-2</c:v>
                </c:pt>
                <c:pt idx="3">
                  <c:v>0.1185968122481989</c:v>
                </c:pt>
                <c:pt idx="4">
                  <c:v>6.0801496063530358E-2</c:v>
                </c:pt>
                <c:pt idx="5">
                  <c:v>5.4651390284569945E-2</c:v>
                </c:pt>
                <c:pt idx="6">
                  <c:v>3.0542690573998554E-2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81-45AC-A2E3-59F64550743E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81-45AC-A2E3-59F645507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4808"/>
        <c:axId val="1"/>
      </c:scatterChart>
      <c:valAx>
        <c:axId val="639414808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960397355393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1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69077757685352"/>
          <c:y val="0.92000129214617399"/>
          <c:w val="0.8860767087658346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Eri - O-C Diagr.</a:t>
            </a:r>
          </a:p>
        </c:rich>
      </c:tx>
      <c:layout>
        <c:manualLayout>
          <c:xMode val="edge"/>
          <c:yMode val="edge"/>
          <c:x val="0.3700361010830324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1444043321299"/>
          <c:y val="0.14723926380368099"/>
          <c:w val="0.796028880866425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92-46B3-B7FE-34F343D147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0.11750000000029104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92-46B3-B7FE-34F343D147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92-46B3-B7FE-34F343D147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6.8299999998998828E-2</c:v>
                </c:pt>
                <c:pt idx="3">
                  <c:v>0.11750000000029104</c:v>
                </c:pt>
                <c:pt idx="4">
                  <c:v>6.3999999998486601E-2</c:v>
                </c:pt>
                <c:pt idx="5">
                  <c:v>5.5349999995087273E-2</c:v>
                </c:pt>
                <c:pt idx="6">
                  <c:v>2.659999999741558E-2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92-46B3-B7FE-34F343D147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92-46B3-B7FE-34F343D147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92-46B3-B7FE-34F343D147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92-46B3-B7FE-34F343D147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0.46700778737377791</c:v>
                </c:pt>
                <c:pt idx="1">
                  <c:v>0.1185968122481989</c:v>
                </c:pt>
                <c:pt idx="2">
                  <c:v>6.6060798572073531E-2</c:v>
                </c:pt>
                <c:pt idx="3">
                  <c:v>0.1185968122481989</c:v>
                </c:pt>
                <c:pt idx="4">
                  <c:v>6.0801496063530358E-2</c:v>
                </c:pt>
                <c:pt idx="5">
                  <c:v>5.4651390284569945E-2</c:v>
                </c:pt>
                <c:pt idx="6">
                  <c:v>3.0542690573998554E-2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92-46B3-B7FE-34F343D14723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56262</c:v>
                </c:pt>
                <c:pt idx="3">
                  <c:v>48890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92-46B3-B7FE-34F343D1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21696"/>
        <c:axId val="1"/>
      </c:scatterChart>
      <c:valAx>
        <c:axId val="6310216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555956678699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5162454873646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021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30324909747292"/>
          <c:y val="0.92024539877300615"/>
          <c:w val="0.88447653429602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457200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2A6D180-847C-7862-BD76-9B67BCEAD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85725</xdr:colOff>
      <xdr:row>17</xdr:row>
      <xdr:rowOff>104775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5E7BFCA-CC88-76E1-F053-80EDE0F94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653" TargetMode="External"/><Relationship Id="rId2" Type="http://schemas.openxmlformats.org/officeDocument/2006/relationships/hyperlink" Target="http://www.konkoly.hu/cgi-bin/IBVS?5502" TargetMode="External"/><Relationship Id="rId1" Type="http://schemas.openxmlformats.org/officeDocument/2006/relationships/hyperlink" Target="http://www.konkoly.hu/cgi-bin/IBVS?5653" TargetMode="External"/><Relationship Id="rId5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konkoly.hu/cgi-bin/IBVS?5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24</v>
      </c>
      <c r="B2" t="s">
        <v>35</v>
      </c>
    </row>
    <row r="4" spans="1:6" ht="14.25" thickTop="1" thickBot="1" x14ac:dyDescent="0.25">
      <c r="A4" s="7" t="s">
        <v>0</v>
      </c>
      <c r="C4" s="3">
        <v>24801.8</v>
      </c>
      <c r="D4" s="4">
        <v>0.50085000000000002</v>
      </c>
    </row>
    <row r="5" spans="1:6" ht="13.5" thickTop="1" x14ac:dyDescent="0.2">
      <c r="A5" s="20" t="s">
        <v>37</v>
      </c>
      <c r="B5" s="21"/>
      <c r="C5" s="22">
        <v>-9.5</v>
      </c>
      <c r="D5" s="21" t="s">
        <v>38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24801.8</v>
      </c>
    </row>
    <row r="8" spans="1:6" x14ac:dyDescent="0.2">
      <c r="A8" t="s">
        <v>3</v>
      </c>
      <c r="C8">
        <f>+D4</f>
        <v>0.50085000000000002</v>
      </c>
    </row>
    <row r="9" spans="1:6" x14ac:dyDescent="0.2">
      <c r="A9" s="35" t="s">
        <v>45</v>
      </c>
      <c r="B9" s="36">
        <v>21</v>
      </c>
      <c r="C9" s="34" t="str">
        <f>"F"&amp;B9</f>
        <v>F21</v>
      </c>
      <c r="D9" s="16" t="str">
        <f>"G"&amp;B9</f>
        <v>G21</v>
      </c>
    </row>
    <row r="10" spans="1:6" ht="13.5" thickBot="1" x14ac:dyDescent="0.25">
      <c r="A10" s="21"/>
      <c r="B10" s="21"/>
      <c r="C10" s="6" t="s">
        <v>20</v>
      </c>
      <c r="D10" s="6" t="s">
        <v>21</v>
      </c>
      <c r="E10" s="21"/>
    </row>
    <row r="11" spans="1:6" x14ac:dyDescent="0.2">
      <c r="A11" s="21" t="s">
        <v>16</v>
      </c>
      <c r="B11" s="21"/>
      <c r="C11" s="33">
        <f ca="1">INTERCEPT(INDIRECT($D$9):G992,INDIRECT($C$9):F992)</f>
        <v>0.46700778737377791</v>
      </c>
      <c r="D11" s="5"/>
      <c r="E11" s="21"/>
    </row>
    <row r="12" spans="1:6" x14ac:dyDescent="0.2">
      <c r="A12" s="21" t="s">
        <v>17</v>
      </c>
      <c r="B12" s="21"/>
      <c r="C12" s="33">
        <f ca="1">SLOPE(INDIRECT($D$9):G992,INDIRECT($C$9):F992)</f>
        <v>-7.1264261633376767E-6</v>
      </c>
      <c r="D12" s="5"/>
      <c r="E12" s="21"/>
    </row>
    <row r="13" spans="1:6" x14ac:dyDescent="0.2">
      <c r="A13" s="21" t="s">
        <v>19</v>
      </c>
      <c r="B13" s="21"/>
      <c r="C13" s="5" t="s">
        <v>14</v>
      </c>
    </row>
    <row r="14" spans="1:6" x14ac:dyDescent="0.2">
      <c r="A14" s="21"/>
      <c r="B14" s="21"/>
      <c r="C14" s="21"/>
    </row>
    <row r="15" spans="1:6" x14ac:dyDescent="0.2">
      <c r="A15" s="23" t="s">
        <v>18</v>
      </c>
      <c r="B15" s="21"/>
      <c r="C15" s="24">
        <f ca="1">(C7+C11)+(C8+C12)*INT(MAX(F21:F3533))</f>
        <v>55476.889642690578</v>
      </c>
      <c r="E15" s="25" t="s">
        <v>43</v>
      </c>
      <c r="F15" s="22">
        <v>1</v>
      </c>
    </row>
    <row r="16" spans="1:6" x14ac:dyDescent="0.2">
      <c r="A16" s="27" t="s">
        <v>4</v>
      </c>
      <c r="B16" s="21"/>
      <c r="C16" s="28">
        <f ca="1">+C8+C12</f>
        <v>0.50084287357383672</v>
      </c>
      <c r="E16" s="25" t="s">
        <v>39</v>
      </c>
      <c r="F16" s="26">
        <f ca="1">NOW()+15018.5+$C$5/24</f>
        <v>60326.604025810186</v>
      </c>
    </row>
    <row r="17" spans="1:32" ht="13.5" thickBot="1" x14ac:dyDescent="0.25">
      <c r="A17" s="25" t="s">
        <v>33</v>
      </c>
      <c r="B17" s="21"/>
      <c r="C17" s="21">
        <f>COUNT(C21:C2191)</f>
        <v>7</v>
      </c>
      <c r="E17" s="25" t="s">
        <v>44</v>
      </c>
      <c r="F17" s="26">
        <f ca="1">ROUND(2*(F16-$C$7)/$C$8,0)/2+F15</f>
        <v>70930</v>
      </c>
    </row>
    <row r="18" spans="1:32" ht="14.25" thickTop="1" thickBot="1" x14ac:dyDescent="0.25">
      <c r="A18" s="27" t="s">
        <v>5</v>
      </c>
      <c r="B18" s="21"/>
      <c r="C18" s="30">
        <f ca="1">+C15</f>
        <v>55476.889642690578</v>
      </c>
      <c r="D18" s="31">
        <f ca="1">+C16</f>
        <v>0.50084287357383672</v>
      </c>
      <c r="E18" s="25" t="s">
        <v>40</v>
      </c>
      <c r="F18" s="16">
        <f ca="1">ROUND(2*(F16-$C$15)/$C$16,0)/2+F15</f>
        <v>9684</v>
      </c>
    </row>
    <row r="19" spans="1:32" ht="13.5" thickTop="1" x14ac:dyDescent="0.2">
      <c r="E19" s="25" t="s">
        <v>41</v>
      </c>
      <c r="F19" s="29">
        <f ca="1">+$C$15+$C$16*F18-15018.5-$C$5/24</f>
        <v>45308.94786371295</v>
      </c>
    </row>
    <row r="20" spans="1:32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54</v>
      </c>
      <c r="I20" s="9" t="s">
        <v>57</v>
      </c>
      <c r="J20" s="9" t="s">
        <v>51</v>
      </c>
      <c r="K20" s="9" t="s">
        <v>50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3" t="s">
        <v>89</v>
      </c>
    </row>
    <row r="21" spans="1:32" x14ac:dyDescent="0.2">
      <c r="A21" t="s">
        <v>12</v>
      </c>
      <c r="C21" s="17">
        <v>24801.8</v>
      </c>
      <c r="D21" s="17" t="s">
        <v>14</v>
      </c>
      <c r="E21">
        <f t="shared" ref="E21:E26" si="0">+(C21-C$7)/C$8</f>
        <v>0</v>
      </c>
      <c r="F21">
        <f t="shared" ref="F21:F27" si="1">ROUND(2*E21,0)/2</f>
        <v>0</v>
      </c>
      <c r="H21" s="16">
        <v>0</v>
      </c>
      <c r="O21">
        <f t="shared" ref="O21:O26" ca="1" si="2">+C$11+C$12*$F21</f>
        <v>0.46700778737377791</v>
      </c>
      <c r="Q21" s="2">
        <f t="shared" ref="Q21:Q26" si="3">+C21-15018.5</f>
        <v>9783.2999999999993</v>
      </c>
    </row>
    <row r="22" spans="1:32" x14ac:dyDescent="0.2">
      <c r="A22" t="s">
        <v>29</v>
      </c>
      <c r="C22" s="17">
        <v>49288.474000000002</v>
      </c>
      <c r="D22" s="17"/>
      <c r="E22">
        <f t="shared" si="0"/>
        <v>48890.234601178003</v>
      </c>
      <c r="F22">
        <f t="shared" si="1"/>
        <v>48890</v>
      </c>
      <c r="G22">
        <f t="shared" ref="G22:G27" si="4">+C22-(C$7+F22*C$8)</f>
        <v>0.11750000000029104</v>
      </c>
      <c r="I22">
        <f>+G22</f>
        <v>0.11750000000029104</v>
      </c>
      <c r="O22">
        <f t="shared" ca="1" si="2"/>
        <v>0.1185968122481989</v>
      </c>
      <c r="Q22" s="2">
        <f t="shared" si="3"/>
        <v>34269.974000000002</v>
      </c>
      <c r="AB22" s="5"/>
      <c r="AC22">
        <v>6</v>
      </c>
      <c r="AD22" t="s">
        <v>28</v>
      </c>
      <c r="AF22" t="s">
        <v>30</v>
      </c>
    </row>
    <row r="23" spans="1:32" x14ac:dyDescent="0.2">
      <c r="A23" s="10" t="s">
        <v>31</v>
      </c>
      <c r="B23" s="11" t="s">
        <v>32</v>
      </c>
      <c r="C23" s="18">
        <v>52980.690999999999</v>
      </c>
      <c r="D23" s="19">
        <v>2E-3</v>
      </c>
      <c r="E23">
        <f t="shared" si="0"/>
        <v>56262.136368174099</v>
      </c>
      <c r="F23">
        <f t="shared" si="1"/>
        <v>56262</v>
      </c>
      <c r="G23">
        <f t="shared" si="4"/>
        <v>6.8299999998998828E-2</v>
      </c>
      <c r="K23">
        <f>+G23</f>
        <v>6.8299999998998828E-2</v>
      </c>
      <c r="O23">
        <f t="shared" ca="1" si="2"/>
        <v>6.6060798572073531E-2</v>
      </c>
      <c r="Q23" s="2">
        <f t="shared" si="3"/>
        <v>37962.190999999999</v>
      </c>
      <c r="R23" t="s">
        <v>50</v>
      </c>
    </row>
    <row r="24" spans="1:32" x14ac:dyDescent="0.2">
      <c r="A24" s="12" t="s">
        <v>36</v>
      </c>
      <c r="B24" s="13" t="s">
        <v>32</v>
      </c>
      <c r="C24" s="14">
        <v>49288.474000000002</v>
      </c>
      <c r="D24" s="14">
        <v>0.01</v>
      </c>
      <c r="E24">
        <f t="shared" si="0"/>
        <v>48890.234601178003</v>
      </c>
      <c r="F24">
        <f t="shared" si="1"/>
        <v>48890</v>
      </c>
      <c r="G24">
        <f t="shared" si="4"/>
        <v>0.11750000000029104</v>
      </c>
      <c r="K24">
        <f>+G24</f>
        <v>0.11750000000029104</v>
      </c>
      <c r="O24">
        <f t="shared" ca="1" si="2"/>
        <v>0.1185968122481989</v>
      </c>
      <c r="Q24" s="2">
        <f t="shared" si="3"/>
        <v>34269.974000000002</v>
      </c>
      <c r="R24" t="s">
        <v>50</v>
      </c>
    </row>
    <row r="25" spans="1:32" x14ac:dyDescent="0.2">
      <c r="A25" s="12" t="s">
        <v>36</v>
      </c>
      <c r="B25" s="13" t="s">
        <v>32</v>
      </c>
      <c r="C25" s="14">
        <v>53350.313999999998</v>
      </c>
      <c r="D25" s="14">
        <v>4.0000000000000001E-3</v>
      </c>
      <c r="E25">
        <f t="shared" si="0"/>
        <v>57000.12778276929</v>
      </c>
      <c r="F25">
        <f t="shared" si="1"/>
        <v>57000</v>
      </c>
      <c r="G25">
        <f t="shared" si="4"/>
        <v>6.3999999998486601E-2</v>
      </c>
      <c r="K25">
        <f>+G25</f>
        <v>6.3999999998486601E-2</v>
      </c>
      <c r="O25">
        <f t="shared" ca="1" si="2"/>
        <v>6.0801496063530358E-2</v>
      </c>
      <c r="Q25" s="2">
        <f t="shared" si="3"/>
        <v>38331.813999999998</v>
      </c>
      <c r="R25" t="s">
        <v>50</v>
      </c>
    </row>
    <row r="26" spans="1:32" x14ac:dyDescent="0.2">
      <c r="A26" s="32" t="s">
        <v>42</v>
      </c>
      <c r="B26" s="11" t="s">
        <v>32</v>
      </c>
      <c r="C26" s="15">
        <v>53782.5389</v>
      </c>
      <c r="D26" s="15">
        <v>2.0000000000000001E-4</v>
      </c>
      <c r="E26">
        <f t="shared" si="0"/>
        <v>57863.11051212938</v>
      </c>
      <c r="F26">
        <f t="shared" si="1"/>
        <v>57863</v>
      </c>
      <c r="G26">
        <f t="shared" si="4"/>
        <v>5.5349999995087273E-2</v>
      </c>
      <c r="K26">
        <f>+G26</f>
        <v>5.5349999995087273E-2</v>
      </c>
      <c r="O26">
        <f t="shared" ca="1" si="2"/>
        <v>5.4651390284569945E-2</v>
      </c>
      <c r="Q26" s="2">
        <f t="shared" si="3"/>
        <v>38764.0389</v>
      </c>
      <c r="R26" t="s">
        <v>50</v>
      </c>
    </row>
    <row r="27" spans="1:32" x14ac:dyDescent="0.2">
      <c r="A27" s="37" t="s">
        <v>46</v>
      </c>
      <c r="B27" s="38" t="s">
        <v>47</v>
      </c>
      <c r="C27" s="39">
        <v>55476.885699999999</v>
      </c>
      <c r="D27" s="39">
        <v>8.9999999999999998E-4</v>
      </c>
      <c r="E27">
        <f>+(C27-C$7)/C$8</f>
        <v>61246.053109713481</v>
      </c>
      <c r="F27">
        <f t="shared" si="1"/>
        <v>61246</v>
      </c>
      <c r="G27">
        <f t="shared" si="4"/>
        <v>2.659999999741558E-2</v>
      </c>
      <c r="K27">
        <f>+G27</f>
        <v>2.659999999741558E-2</v>
      </c>
      <c r="O27">
        <f ca="1">+C$11+C$12*$F27</f>
        <v>3.0542690573998554E-2</v>
      </c>
      <c r="Q27" s="2">
        <f>+C27-15018.5</f>
        <v>40458.385699999999</v>
      </c>
      <c r="R27" t="s">
        <v>90</v>
      </c>
    </row>
    <row r="28" spans="1:32" x14ac:dyDescent="0.2">
      <c r="C28" s="17"/>
      <c r="D28" s="17"/>
    </row>
    <row r="29" spans="1:32" x14ac:dyDescent="0.2">
      <c r="C29" s="17"/>
      <c r="D29" s="17"/>
    </row>
    <row r="30" spans="1:32" x14ac:dyDescent="0.2">
      <c r="C30" s="10"/>
      <c r="D30" s="10"/>
    </row>
    <row r="31" spans="1:32" x14ac:dyDescent="0.2">
      <c r="C31" s="10"/>
      <c r="D31" s="10"/>
    </row>
    <row r="32" spans="1:32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0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21" customWidth="1"/>
    <col min="3" max="3" width="12.7109375" style="10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0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0" t="s">
        <v>48</v>
      </c>
      <c r="I1" s="41" t="s">
        <v>49</v>
      </c>
      <c r="J1" s="42" t="s">
        <v>50</v>
      </c>
    </row>
    <row r="2" spans="1:16" x14ac:dyDescent="0.2">
      <c r="I2" s="43" t="s">
        <v>35</v>
      </c>
      <c r="J2" s="44" t="s">
        <v>51</v>
      </c>
    </row>
    <row r="3" spans="1:16" x14ac:dyDescent="0.2">
      <c r="A3" s="45" t="s">
        <v>52</v>
      </c>
      <c r="I3" s="43" t="s">
        <v>53</v>
      </c>
      <c r="J3" s="44" t="s">
        <v>54</v>
      </c>
    </row>
    <row r="4" spans="1:16" x14ac:dyDescent="0.2">
      <c r="I4" s="43" t="s">
        <v>55</v>
      </c>
      <c r="J4" s="44" t="s">
        <v>54</v>
      </c>
    </row>
    <row r="5" spans="1:16" ht="13.5" thickBot="1" x14ac:dyDescent="0.25">
      <c r="I5" s="46" t="s">
        <v>56</v>
      </c>
      <c r="J5" s="47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16" si="0">P11</f>
        <v> GCVS 1985 </v>
      </c>
      <c r="B11" s="5" t="str">
        <f t="shared" ref="B11:B16" si="1">IF(H11=INT(H11),"I","II")</f>
        <v>I</v>
      </c>
      <c r="C11" s="10">
        <f t="shared" ref="C11:C16" si="2">1*G11</f>
        <v>24801.8</v>
      </c>
      <c r="D11" s="21" t="str">
        <f t="shared" ref="D11:D16" si="3">VLOOKUP(F11,I$1:J$5,2,FALSE)</f>
        <v>vis</v>
      </c>
      <c r="E11" s="48">
        <f>VLOOKUP(C11,Active!C$21:E$973,3,FALSE)</f>
        <v>0</v>
      </c>
      <c r="F11" s="5" t="s">
        <v>56</v>
      </c>
      <c r="G11" s="21" t="str">
        <f t="shared" ref="G11:G16" si="4">MID(I11,3,LEN(I11)-3)</f>
        <v>24801.80</v>
      </c>
      <c r="H11" s="10">
        <f t="shared" ref="H11:H16" si="5">1*K11</f>
        <v>0</v>
      </c>
      <c r="I11" s="49" t="s">
        <v>58</v>
      </c>
      <c r="J11" s="50" t="s">
        <v>59</v>
      </c>
      <c r="K11" s="49">
        <v>0</v>
      </c>
      <c r="L11" s="49" t="s">
        <v>60</v>
      </c>
      <c r="M11" s="50" t="s">
        <v>61</v>
      </c>
      <c r="N11" s="50"/>
      <c r="O11" s="51" t="s">
        <v>62</v>
      </c>
      <c r="P11" s="51" t="s">
        <v>63</v>
      </c>
    </row>
    <row r="12" spans="1:16" ht="12.75" customHeight="1" thickBot="1" x14ac:dyDescent="0.25">
      <c r="A12" s="10" t="str">
        <f t="shared" si="0"/>
        <v>IBVS 5653 </v>
      </c>
      <c r="B12" s="5" t="str">
        <f t="shared" si="1"/>
        <v>I</v>
      </c>
      <c r="C12" s="10">
        <f t="shared" si="2"/>
        <v>49288.474000000002</v>
      </c>
      <c r="D12" s="21" t="str">
        <f t="shared" si="3"/>
        <v>vis</v>
      </c>
      <c r="E12" s="48">
        <f>VLOOKUP(C12,Active!C$21:E$973,3,FALSE)</f>
        <v>48890.234601178003</v>
      </c>
      <c r="F12" s="5" t="s">
        <v>56</v>
      </c>
      <c r="G12" s="21" t="str">
        <f t="shared" si="4"/>
        <v>49288.474</v>
      </c>
      <c r="H12" s="10">
        <f t="shared" si="5"/>
        <v>48890</v>
      </c>
      <c r="I12" s="49" t="s">
        <v>64</v>
      </c>
      <c r="J12" s="50" t="s">
        <v>65</v>
      </c>
      <c r="K12" s="49">
        <v>48890</v>
      </c>
      <c r="L12" s="49" t="s">
        <v>66</v>
      </c>
      <c r="M12" s="50" t="s">
        <v>67</v>
      </c>
      <c r="N12" s="50" t="s">
        <v>68</v>
      </c>
      <c r="O12" s="51" t="s">
        <v>69</v>
      </c>
      <c r="P12" s="52" t="s">
        <v>70</v>
      </c>
    </row>
    <row r="13" spans="1:16" ht="12.75" customHeight="1" thickBot="1" x14ac:dyDescent="0.25">
      <c r="A13" s="10" t="str">
        <f t="shared" si="0"/>
        <v>IBVS 5502 </v>
      </c>
      <c r="B13" s="5" t="str">
        <f t="shared" si="1"/>
        <v>I</v>
      </c>
      <c r="C13" s="10">
        <f t="shared" si="2"/>
        <v>52980.690999999999</v>
      </c>
      <c r="D13" s="21" t="str">
        <f t="shared" si="3"/>
        <v>vis</v>
      </c>
      <c r="E13" s="48">
        <f>VLOOKUP(C13,Active!C$21:E$973,3,FALSE)</f>
        <v>56262.136368174099</v>
      </c>
      <c r="F13" s="5" t="s">
        <v>56</v>
      </c>
      <c r="G13" s="21" t="str">
        <f t="shared" si="4"/>
        <v>52980.691</v>
      </c>
      <c r="H13" s="10">
        <f t="shared" si="5"/>
        <v>56262</v>
      </c>
      <c r="I13" s="49" t="s">
        <v>71</v>
      </c>
      <c r="J13" s="50" t="s">
        <v>72</v>
      </c>
      <c r="K13" s="49">
        <v>56262</v>
      </c>
      <c r="L13" s="49" t="s">
        <v>73</v>
      </c>
      <c r="M13" s="50" t="s">
        <v>67</v>
      </c>
      <c r="N13" s="50" t="s">
        <v>68</v>
      </c>
      <c r="O13" s="51" t="s">
        <v>74</v>
      </c>
      <c r="P13" s="52" t="s">
        <v>75</v>
      </c>
    </row>
    <row r="14" spans="1:16" ht="12.75" customHeight="1" thickBot="1" x14ac:dyDescent="0.25">
      <c r="A14" s="10" t="str">
        <f t="shared" si="0"/>
        <v>IBVS 5653 </v>
      </c>
      <c r="B14" s="5" t="str">
        <f t="shared" si="1"/>
        <v>I</v>
      </c>
      <c r="C14" s="10">
        <f t="shared" si="2"/>
        <v>53350.313999999998</v>
      </c>
      <c r="D14" s="21" t="str">
        <f t="shared" si="3"/>
        <v>vis</v>
      </c>
      <c r="E14" s="48">
        <f>VLOOKUP(C14,Active!C$21:E$973,3,FALSE)</f>
        <v>57000.12778276929</v>
      </c>
      <c r="F14" s="5" t="s">
        <v>56</v>
      </c>
      <c r="G14" s="21" t="str">
        <f t="shared" si="4"/>
        <v>53350.314</v>
      </c>
      <c r="H14" s="10">
        <f t="shared" si="5"/>
        <v>57000</v>
      </c>
      <c r="I14" s="49" t="s">
        <v>76</v>
      </c>
      <c r="J14" s="50" t="s">
        <v>77</v>
      </c>
      <c r="K14" s="49">
        <v>57000</v>
      </c>
      <c r="L14" s="49" t="s">
        <v>78</v>
      </c>
      <c r="M14" s="50" t="s">
        <v>67</v>
      </c>
      <c r="N14" s="50" t="s">
        <v>68</v>
      </c>
      <c r="O14" s="51" t="s">
        <v>69</v>
      </c>
      <c r="P14" s="52" t="s">
        <v>70</v>
      </c>
    </row>
    <row r="15" spans="1:16" ht="12.75" customHeight="1" thickBot="1" x14ac:dyDescent="0.25">
      <c r="A15" s="10" t="str">
        <f t="shared" si="0"/>
        <v>IBVS 5814 </v>
      </c>
      <c r="B15" s="5" t="str">
        <f t="shared" si="1"/>
        <v>I</v>
      </c>
      <c r="C15" s="10">
        <f t="shared" si="2"/>
        <v>53782.5389</v>
      </c>
      <c r="D15" s="21" t="str">
        <f t="shared" si="3"/>
        <v>vis</v>
      </c>
      <c r="E15" s="48">
        <f>VLOOKUP(C15,Active!C$21:E$973,3,FALSE)</f>
        <v>57863.11051212938</v>
      </c>
      <c r="F15" s="5" t="s">
        <v>56</v>
      </c>
      <c r="G15" s="21" t="str">
        <f t="shared" si="4"/>
        <v>53782.5389</v>
      </c>
      <c r="H15" s="10">
        <f t="shared" si="5"/>
        <v>57863</v>
      </c>
      <c r="I15" s="49" t="s">
        <v>79</v>
      </c>
      <c r="J15" s="50" t="s">
        <v>80</v>
      </c>
      <c r="K15" s="49">
        <v>57863</v>
      </c>
      <c r="L15" s="49" t="s">
        <v>81</v>
      </c>
      <c r="M15" s="50" t="s">
        <v>82</v>
      </c>
      <c r="N15" s="50" t="s">
        <v>56</v>
      </c>
      <c r="O15" s="51" t="s">
        <v>74</v>
      </c>
      <c r="P15" s="52" t="s">
        <v>83</v>
      </c>
    </row>
    <row r="16" spans="1:16" ht="12.75" customHeight="1" thickBot="1" x14ac:dyDescent="0.25">
      <c r="A16" s="10" t="str">
        <f t="shared" si="0"/>
        <v>IBVS 5960 </v>
      </c>
      <c r="B16" s="5" t="str">
        <f t="shared" si="1"/>
        <v>I</v>
      </c>
      <c r="C16" s="10">
        <f t="shared" si="2"/>
        <v>55476.885699999999</v>
      </c>
      <c r="D16" s="21" t="str">
        <f t="shared" si="3"/>
        <v>vis</v>
      </c>
      <c r="E16" s="48">
        <f>VLOOKUP(C16,Active!C$21:E$973,3,FALSE)</f>
        <v>61246.053109713481</v>
      </c>
      <c r="F16" s="5" t="s">
        <v>56</v>
      </c>
      <c r="G16" s="21" t="str">
        <f t="shared" si="4"/>
        <v>55476.8857</v>
      </c>
      <c r="H16" s="10">
        <f t="shared" si="5"/>
        <v>61246</v>
      </c>
      <c r="I16" s="49" t="s">
        <v>84</v>
      </c>
      <c r="J16" s="50" t="s">
        <v>85</v>
      </c>
      <c r="K16" s="49">
        <v>61246</v>
      </c>
      <c r="L16" s="49" t="s">
        <v>86</v>
      </c>
      <c r="M16" s="50" t="s">
        <v>82</v>
      </c>
      <c r="N16" s="50" t="s">
        <v>56</v>
      </c>
      <c r="O16" s="51" t="s">
        <v>87</v>
      </c>
      <c r="P16" s="52" t="s">
        <v>88</v>
      </c>
    </row>
    <row r="17" spans="2:6" x14ac:dyDescent="0.2">
      <c r="B17" s="5"/>
      <c r="F17" s="5"/>
    </row>
    <row r="18" spans="2:6" x14ac:dyDescent="0.2">
      <c r="B18" s="5"/>
      <c r="F18" s="5"/>
    </row>
    <row r="19" spans="2:6" x14ac:dyDescent="0.2">
      <c r="B19" s="5"/>
      <c r="F19" s="5"/>
    </row>
    <row r="20" spans="2:6" x14ac:dyDescent="0.2">
      <c r="B20" s="5"/>
      <c r="F20" s="5"/>
    </row>
    <row r="21" spans="2:6" x14ac:dyDescent="0.2">
      <c r="B21" s="5"/>
      <c r="F21" s="5"/>
    </row>
    <row r="22" spans="2:6" x14ac:dyDescent="0.2">
      <c r="B22" s="5"/>
      <c r="F22" s="5"/>
    </row>
    <row r="23" spans="2:6" x14ac:dyDescent="0.2">
      <c r="B23" s="5"/>
      <c r="F23" s="5"/>
    </row>
    <row r="24" spans="2:6" x14ac:dyDescent="0.2">
      <c r="B24" s="5"/>
      <c r="F24" s="5"/>
    </row>
    <row r="25" spans="2:6" x14ac:dyDescent="0.2">
      <c r="B25" s="5"/>
      <c r="F25" s="5"/>
    </row>
    <row r="26" spans="2:6" x14ac:dyDescent="0.2">
      <c r="B26" s="5"/>
      <c r="F26" s="5"/>
    </row>
    <row r="27" spans="2:6" x14ac:dyDescent="0.2">
      <c r="B27" s="5"/>
      <c r="F27" s="5"/>
    </row>
    <row r="28" spans="2:6" x14ac:dyDescent="0.2">
      <c r="B28" s="5"/>
      <c r="F28" s="5"/>
    </row>
    <row r="29" spans="2:6" x14ac:dyDescent="0.2">
      <c r="B29" s="5"/>
      <c r="F29" s="5"/>
    </row>
    <row r="30" spans="2:6" x14ac:dyDescent="0.2">
      <c r="B30" s="5"/>
      <c r="F30" s="5"/>
    </row>
    <row r="31" spans="2:6" x14ac:dyDescent="0.2">
      <c r="B31" s="5"/>
      <c r="F31" s="5"/>
    </row>
    <row r="32" spans="2: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</sheetData>
  <phoneticPr fontId="8" type="noConversion"/>
  <hyperlinks>
    <hyperlink ref="P12" r:id="rId1" display="http://www.konkoly.hu/cgi-bin/IBVS?5653"/>
    <hyperlink ref="P13" r:id="rId2" display="http://www.konkoly.hu/cgi-bin/IBVS?5502"/>
    <hyperlink ref="P14" r:id="rId3" display="http://www.konkoly.hu/cgi-bin/IBVS?5653"/>
    <hyperlink ref="P15" r:id="rId4" display="http://www.konkoly.hu/cgi-bin/IBVS?5814"/>
    <hyperlink ref="P16" r:id="rId5" display="http://www.konkoly.hu/cgi-bin/IBVS?596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2024-01-17T01:29:47Z</dcterms:modified>
</cp:coreProperties>
</file>