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2778FB8-E179-41CF-A9A6-F766967FC34A}" xr6:coauthVersionLast="47" xr6:coauthVersionMax="47" xr10:uidLastSave="{00000000-0000-0000-0000-000000000000}"/>
  <bookViews>
    <workbookView xWindow="14085" yWindow="660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2" i="1" l="1"/>
  <c r="F92" i="1" s="1"/>
  <c r="G92" i="1" s="1"/>
  <c r="K92" i="1" s="1"/>
  <c r="Q92" i="1"/>
  <c r="E93" i="1"/>
  <c r="F93" i="1"/>
  <c r="G93" i="1" s="1"/>
  <c r="K93" i="1" s="1"/>
  <c r="Q93" i="1"/>
  <c r="Q86" i="1"/>
  <c r="C7" i="1"/>
  <c r="E86" i="1"/>
  <c r="F86" i="1"/>
  <c r="C8" i="1"/>
  <c r="E58" i="1"/>
  <c r="F58" i="1"/>
  <c r="G58" i="1"/>
  <c r="I58" i="1"/>
  <c r="E66" i="1"/>
  <c r="F66" i="1"/>
  <c r="G66" i="1"/>
  <c r="I66" i="1"/>
  <c r="E71" i="1"/>
  <c r="F71" i="1"/>
  <c r="G71" i="1"/>
  <c r="I71" i="1"/>
  <c r="E75" i="1"/>
  <c r="F75" i="1"/>
  <c r="G75" i="1"/>
  <c r="I75" i="1"/>
  <c r="E83" i="1"/>
  <c r="F83" i="1"/>
  <c r="G83" i="1"/>
  <c r="I83" i="1"/>
  <c r="E88" i="1"/>
  <c r="F88" i="1"/>
  <c r="G88" i="1"/>
  <c r="I88" i="1"/>
  <c r="D9" i="1"/>
  <c r="C9" i="1"/>
  <c r="E26" i="1"/>
  <c r="F26" i="1"/>
  <c r="G26" i="1"/>
  <c r="I26" i="1"/>
  <c r="E30" i="1"/>
  <c r="F30" i="1"/>
  <c r="G30" i="1"/>
  <c r="I30" i="1"/>
  <c r="E34" i="1"/>
  <c r="F34" i="1"/>
  <c r="G34" i="1"/>
  <c r="H34" i="1"/>
  <c r="E42" i="1"/>
  <c r="F42" i="1"/>
  <c r="G42" i="1"/>
  <c r="I42" i="1"/>
  <c r="E45" i="1"/>
  <c r="F45" i="1"/>
  <c r="E47" i="1"/>
  <c r="F47" i="1"/>
  <c r="G47" i="1"/>
  <c r="I47" i="1"/>
  <c r="E49" i="1"/>
  <c r="F49" i="1"/>
  <c r="E51" i="1"/>
  <c r="F51" i="1"/>
  <c r="G51" i="1"/>
  <c r="I51" i="1"/>
  <c r="E43" i="1"/>
  <c r="F43" i="1"/>
  <c r="U43" i="1"/>
  <c r="Q91" i="1"/>
  <c r="Q88" i="1"/>
  <c r="Q89" i="1"/>
  <c r="Q9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71" i="1"/>
  <c r="Q72" i="1"/>
  <c r="Q73" i="1"/>
  <c r="Q74" i="1"/>
  <c r="Q75" i="1"/>
  <c r="Q77" i="1"/>
  <c r="Q78" i="1"/>
  <c r="Q79" i="1"/>
  <c r="Q80" i="1"/>
  <c r="Q81" i="1"/>
  <c r="Q82" i="1"/>
  <c r="Q85" i="1"/>
  <c r="Q87" i="1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G66" i="2"/>
  <c r="C66" i="2"/>
  <c r="G65" i="2"/>
  <c r="C65" i="2"/>
  <c r="G20" i="2"/>
  <c r="C20" i="2"/>
  <c r="E20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19" i="2"/>
  <c r="C19" i="2"/>
  <c r="G18" i="2"/>
  <c r="C18" i="2"/>
  <c r="E18" i="2"/>
  <c r="G17" i="2"/>
  <c r="C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59" i="2"/>
  <c r="C59" i="2"/>
  <c r="E59" i="2"/>
  <c r="G58" i="2"/>
  <c r="C58" i="2"/>
  <c r="E58" i="2"/>
  <c r="G57" i="2"/>
  <c r="C57" i="2"/>
  <c r="E57" i="2"/>
  <c r="G56" i="2"/>
  <c r="C56" i="2"/>
  <c r="G55" i="2"/>
  <c r="C55" i="2"/>
  <c r="G54" i="2"/>
  <c r="C54" i="2"/>
  <c r="G53" i="2"/>
  <c r="C53" i="2"/>
  <c r="G52" i="2"/>
  <c r="C52" i="2"/>
  <c r="E52" i="2"/>
  <c r="G51" i="2"/>
  <c r="C51" i="2"/>
  <c r="E51" i="2"/>
  <c r="G50" i="2"/>
  <c r="C50" i="2"/>
  <c r="E50" i="2"/>
  <c r="G49" i="2"/>
  <c r="C49" i="2"/>
  <c r="G48" i="2"/>
  <c r="C48" i="2"/>
  <c r="E48" i="2"/>
  <c r="G47" i="2"/>
  <c r="C47" i="2"/>
  <c r="E47" i="2"/>
  <c r="G46" i="2"/>
  <c r="C46" i="2"/>
  <c r="E46" i="2"/>
  <c r="G45" i="2"/>
  <c r="C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G36" i="2"/>
  <c r="C36" i="2"/>
  <c r="G35" i="2"/>
  <c r="C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G28" i="2"/>
  <c r="C28" i="2"/>
  <c r="G27" i="2"/>
  <c r="C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G21" i="2"/>
  <c r="C21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0" i="2"/>
  <c r="B20" i="2"/>
  <c r="D20" i="2"/>
  <c r="A20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84" i="1"/>
  <c r="Q83" i="1"/>
  <c r="F16" i="1"/>
  <c r="F17" i="1" s="1"/>
  <c r="C17" i="1"/>
  <c r="Q76" i="1"/>
  <c r="Q61" i="1"/>
  <c r="Q62" i="1"/>
  <c r="Q63" i="1"/>
  <c r="Q64" i="1"/>
  <c r="Q65" i="1"/>
  <c r="Q66" i="1"/>
  <c r="Q67" i="1"/>
  <c r="Q68" i="1"/>
  <c r="Q69" i="1"/>
  <c r="Q70" i="1"/>
  <c r="Q35" i="1"/>
  <c r="E50" i="1"/>
  <c r="E49" i="2"/>
  <c r="F50" i="1"/>
  <c r="G50" i="1"/>
  <c r="H50" i="1"/>
  <c r="E46" i="1"/>
  <c r="F46" i="1"/>
  <c r="E41" i="1"/>
  <c r="F41" i="1"/>
  <c r="G41" i="1"/>
  <c r="I41" i="1"/>
  <c r="E37" i="1"/>
  <c r="F37" i="1"/>
  <c r="G37" i="1"/>
  <c r="H37" i="1"/>
  <c r="E33" i="1"/>
  <c r="F33" i="1"/>
  <c r="G33" i="1"/>
  <c r="H33" i="1"/>
  <c r="E29" i="1"/>
  <c r="F29" i="1"/>
  <c r="E25" i="1"/>
  <c r="F25" i="1"/>
  <c r="G25" i="1"/>
  <c r="I25" i="1"/>
  <c r="E21" i="1"/>
  <c r="F21" i="1"/>
  <c r="E68" i="1"/>
  <c r="F68" i="1"/>
  <c r="E87" i="1"/>
  <c r="F87" i="1"/>
  <c r="G87" i="1"/>
  <c r="I87" i="1"/>
  <c r="E82" i="1"/>
  <c r="F82" i="1"/>
  <c r="G82" i="1"/>
  <c r="I82" i="1"/>
  <c r="E78" i="1"/>
  <c r="F78" i="1"/>
  <c r="G78" i="1"/>
  <c r="I78" i="1"/>
  <c r="E74" i="1"/>
  <c r="F74" i="1"/>
  <c r="G74" i="1"/>
  <c r="K74" i="1"/>
  <c r="E70" i="1"/>
  <c r="E19" i="2"/>
  <c r="F70" i="1"/>
  <c r="G70" i="1"/>
  <c r="I70" i="1"/>
  <c r="E65" i="1"/>
  <c r="F65" i="1"/>
  <c r="E61" i="1"/>
  <c r="F61" i="1"/>
  <c r="G61" i="1"/>
  <c r="I61" i="1"/>
  <c r="E57" i="1"/>
  <c r="F57" i="1"/>
  <c r="G57" i="1"/>
  <c r="I57" i="1"/>
  <c r="E53" i="1"/>
  <c r="F53" i="1"/>
  <c r="G53" i="1"/>
  <c r="I53" i="1"/>
  <c r="E40" i="1"/>
  <c r="F40" i="1"/>
  <c r="G40" i="1"/>
  <c r="I40" i="1"/>
  <c r="E36" i="1"/>
  <c r="F36" i="1"/>
  <c r="G36" i="1"/>
  <c r="H36" i="1"/>
  <c r="E32" i="1"/>
  <c r="F32" i="1"/>
  <c r="G32" i="1"/>
  <c r="H32" i="1"/>
  <c r="E28" i="1"/>
  <c r="F28" i="1"/>
  <c r="G28" i="1"/>
  <c r="I28" i="1"/>
  <c r="E24" i="1"/>
  <c r="F24" i="1"/>
  <c r="G24" i="1"/>
  <c r="I24" i="1"/>
  <c r="E90" i="1"/>
  <c r="F90" i="1"/>
  <c r="G90" i="1"/>
  <c r="I90" i="1"/>
  <c r="E85" i="1"/>
  <c r="F85" i="1"/>
  <c r="G85" i="1"/>
  <c r="I85" i="1"/>
  <c r="E81" i="1"/>
  <c r="F81" i="1"/>
  <c r="G81" i="1"/>
  <c r="K81" i="1"/>
  <c r="E77" i="1"/>
  <c r="E65" i="2"/>
  <c r="F77" i="1"/>
  <c r="G77" i="1"/>
  <c r="I77" i="1"/>
  <c r="E73" i="1"/>
  <c r="F73" i="1"/>
  <c r="G73" i="1"/>
  <c r="I73" i="1"/>
  <c r="E69" i="1"/>
  <c r="F69" i="1"/>
  <c r="G69" i="1"/>
  <c r="J69" i="1"/>
  <c r="E64" i="1"/>
  <c r="F64" i="1"/>
  <c r="G64" i="1"/>
  <c r="I64" i="1"/>
  <c r="E60" i="1"/>
  <c r="F60" i="1"/>
  <c r="G60" i="1"/>
  <c r="I60" i="1"/>
  <c r="E56" i="1"/>
  <c r="F56" i="1"/>
  <c r="G56" i="1"/>
  <c r="I56" i="1"/>
  <c r="E91" i="1"/>
  <c r="F91" i="1"/>
  <c r="G91" i="1"/>
  <c r="I91" i="1"/>
  <c r="E52" i="1"/>
  <c r="F52" i="1"/>
  <c r="G52" i="1"/>
  <c r="I52" i="1"/>
  <c r="E48" i="1"/>
  <c r="F48" i="1"/>
  <c r="G48" i="1"/>
  <c r="I48" i="1"/>
  <c r="G46" i="1"/>
  <c r="I46" i="1"/>
  <c r="E44" i="1"/>
  <c r="F44" i="1"/>
  <c r="G44" i="1"/>
  <c r="I44" i="1"/>
  <c r="E39" i="1"/>
  <c r="F39" i="1"/>
  <c r="G39" i="1"/>
  <c r="H39" i="1"/>
  <c r="E35" i="1"/>
  <c r="F35" i="1"/>
  <c r="G35" i="1"/>
  <c r="H35" i="1"/>
  <c r="E31" i="1"/>
  <c r="F31" i="1"/>
  <c r="G31" i="1"/>
  <c r="H31" i="1"/>
  <c r="G29" i="1"/>
  <c r="I29" i="1"/>
  <c r="E27" i="1"/>
  <c r="F27" i="1"/>
  <c r="G27" i="1"/>
  <c r="I27" i="1"/>
  <c r="E23" i="1"/>
  <c r="F23" i="1"/>
  <c r="G23" i="1"/>
  <c r="I23" i="1"/>
  <c r="G21" i="1"/>
  <c r="E89" i="1"/>
  <c r="F89" i="1"/>
  <c r="G89" i="1"/>
  <c r="I89" i="1"/>
  <c r="E84" i="1"/>
  <c r="F84" i="1"/>
  <c r="G84" i="1"/>
  <c r="K84" i="1"/>
  <c r="E80" i="1"/>
  <c r="F80" i="1"/>
  <c r="G80" i="1"/>
  <c r="K80" i="1"/>
  <c r="E76" i="1"/>
  <c r="F76" i="1"/>
  <c r="G76" i="1"/>
  <c r="K76" i="1"/>
  <c r="E72" i="1"/>
  <c r="F72" i="1"/>
  <c r="G72" i="1"/>
  <c r="I72" i="1"/>
  <c r="E67" i="1"/>
  <c r="F67" i="1"/>
  <c r="G67" i="1"/>
  <c r="I67" i="1"/>
  <c r="G65" i="1"/>
  <c r="I65" i="1"/>
  <c r="E63" i="1"/>
  <c r="F63" i="1"/>
  <c r="G63" i="1"/>
  <c r="I63" i="1"/>
  <c r="E59" i="1"/>
  <c r="F59" i="1"/>
  <c r="G59" i="1"/>
  <c r="H59" i="1"/>
  <c r="E55" i="1"/>
  <c r="F55" i="1"/>
  <c r="G55" i="1"/>
  <c r="H55" i="1"/>
  <c r="E66" i="2"/>
  <c r="E56" i="2"/>
  <c r="E35" i="2"/>
  <c r="E55" i="2"/>
  <c r="E36" i="2"/>
  <c r="E21" i="2"/>
  <c r="E16" i="2"/>
  <c r="E17" i="2"/>
  <c r="E29" i="2"/>
  <c r="E27" i="2"/>
  <c r="E28" i="2"/>
  <c r="E45" i="2"/>
  <c r="I21" i="1"/>
  <c r="E54" i="2"/>
  <c r="E22" i="2"/>
  <c r="E53" i="2"/>
  <c r="E37" i="2"/>
  <c r="E54" i="1"/>
  <c r="F54" i="1"/>
  <c r="G54" i="1"/>
  <c r="H54" i="1"/>
  <c r="G49" i="1"/>
  <c r="I49" i="1"/>
  <c r="G45" i="1"/>
  <c r="I45" i="1"/>
  <c r="E38" i="1"/>
  <c r="F38" i="1"/>
  <c r="G38" i="1"/>
  <c r="H38" i="1"/>
  <c r="E22" i="1"/>
  <c r="F22" i="1"/>
  <c r="G22" i="1"/>
  <c r="E79" i="1"/>
  <c r="F79" i="1"/>
  <c r="G79" i="1"/>
  <c r="I79" i="1"/>
  <c r="E62" i="1"/>
  <c r="F62" i="1"/>
  <c r="G62" i="1"/>
  <c r="I62" i="1"/>
  <c r="G86" i="1"/>
  <c r="K86" i="1"/>
  <c r="I22" i="1"/>
  <c r="E67" i="2"/>
  <c r="C11" i="1"/>
  <c r="C12" i="1"/>
  <c r="O93" i="1" l="1"/>
  <c r="O92" i="1"/>
  <c r="C16" i="1"/>
  <c r="D18" i="1" s="1"/>
  <c r="O49" i="1"/>
  <c r="O79" i="1"/>
  <c r="O40" i="1"/>
  <c r="O84" i="1"/>
  <c r="O91" i="1"/>
  <c r="O64" i="1"/>
  <c r="O23" i="1"/>
  <c r="O27" i="1"/>
  <c r="O65" i="1"/>
  <c r="O44" i="1"/>
  <c r="O38" i="1"/>
  <c r="O34" i="1"/>
  <c r="C15" i="1"/>
  <c r="O21" i="1"/>
  <c r="O57" i="1"/>
  <c r="O29" i="1"/>
  <c r="O54" i="1"/>
  <c r="O56" i="1"/>
  <c r="O67" i="1"/>
  <c r="O59" i="1"/>
  <c r="O81" i="1"/>
  <c r="O85" i="1"/>
  <c r="O53" i="1"/>
  <c r="O86" i="1"/>
  <c r="O71" i="1"/>
  <c r="O35" i="1"/>
  <c r="O22" i="1"/>
  <c r="O26" i="1"/>
  <c r="O28" i="1"/>
  <c r="O31" i="1"/>
  <c r="O39" i="1"/>
  <c r="O61" i="1"/>
  <c r="O50" i="1"/>
  <c r="O48" i="1"/>
  <c r="O47" i="1"/>
  <c r="O58" i="1"/>
  <c r="O72" i="1"/>
  <c r="O60" i="1"/>
  <c r="O73" i="1"/>
  <c r="O62" i="1"/>
  <c r="O46" i="1"/>
  <c r="O68" i="1"/>
  <c r="O88" i="1"/>
  <c r="O69" i="1"/>
  <c r="O51" i="1"/>
  <c r="O55" i="1"/>
  <c r="O70" i="1"/>
  <c r="O37" i="1"/>
  <c r="O75" i="1"/>
  <c r="O82" i="1"/>
  <c r="O32" i="1"/>
  <c r="O36" i="1"/>
  <c r="O66" i="1"/>
  <c r="O43" i="1"/>
  <c r="O80" i="1"/>
  <c r="O76" i="1"/>
  <c r="O89" i="1"/>
  <c r="O42" i="1"/>
  <c r="O45" i="1"/>
  <c r="O25" i="1"/>
  <c r="O77" i="1"/>
  <c r="O74" i="1"/>
  <c r="O78" i="1"/>
  <c r="O41" i="1"/>
  <c r="O63" i="1"/>
  <c r="O24" i="1"/>
  <c r="O33" i="1"/>
  <c r="O52" i="1"/>
  <c r="O30" i="1"/>
  <c r="O83" i="1"/>
  <c r="O90" i="1"/>
  <c r="O87" i="1"/>
  <c r="C18" i="1" l="1"/>
  <c r="F18" i="1"/>
  <c r="F19" i="1" s="1"/>
</calcChain>
</file>

<file path=xl/sharedStrings.xml><?xml version="1.0" encoding="utf-8"?>
<sst xmlns="http://schemas.openxmlformats.org/spreadsheetml/2006/main" count="726" uniqueCount="315">
  <si>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</si>
  <si>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</si>
  <si>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</si>
  <si>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</si>
  <si>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</si>
  <si>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</si>
  <si>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</si>
  <si>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</si>
  <si>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</si>
  <si>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</si>
  <si>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</si>
  <si>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</si>
  <si>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</si>
  <si>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</si>
  <si>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</si>
  <si>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</si>
  <si>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</si>
  <si>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</si>
  <si>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</si>
  <si>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</si>
  <si>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</si>
  <si>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</si>
  <si>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</si>
  <si>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</si>
  <si>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</si>
  <si>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</si>
  <si>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</si>
  <si>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</si>
  <si>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</si>
  <si>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</si>
  <si>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BBSAG 6</t>
  </si>
  <si>
    <t>K</t>
  </si>
  <si>
    <t>Locher K</t>
  </si>
  <si>
    <t>BBSAG Bull.6</t>
  </si>
  <si>
    <t>B</t>
  </si>
  <si>
    <t>BBSAG Bull.7</t>
  </si>
  <si>
    <t>BBSAG Bull.8</t>
  </si>
  <si>
    <t>Germann R</t>
  </si>
  <si>
    <t>BBSAG Bull.20</t>
  </si>
  <si>
    <t>Paschke A</t>
  </si>
  <si>
    <t>BBSAG Bull.82</t>
  </si>
  <si>
    <t>BBSAG Bull.90</t>
  </si>
  <si>
    <t>phe  B</t>
  </si>
  <si>
    <t>Blaettler E</t>
  </si>
  <si>
    <t>BBSAG Bull.106</t>
  </si>
  <si>
    <t>Kohl M</t>
  </si>
  <si>
    <t>BBSAG Bull.111</t>
  </si>
  <si>
    <t>EA/SD</t>
  </si>
  <si>
    <t>IBVS 0795</t>
  </si>
  <si>
    <t>I</t>
  </si>
  <si>
    <t># of data points:</t>
  </si>
  <si>
    <t>AS Eri / GSC 04719-01018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</si>
  <si>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</si>
  <si>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</si>
  <si>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</si>
  <si>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</si>
  <si>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</si>
  <si>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</si>
  <si>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</si>
  <si>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Add cycle</t>
  </si>
  <si>
    <t>Old Cycle</t>
  </si>
  <si>
    <t>OEJV 0130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</si>
  <si>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</si>
  <si>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</si>
  <si>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</si>
  <si>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</si>
  <si>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</si>
  <si>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</si>
  <si>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</si>
  <si>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</si>
  <si>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</si>
  <si>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</si>
  <si>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</si>
  <si>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</si>
  <si>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</si>
  <si>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2415957.885 </t>
  </si>
  <si>
    <t> 27.07.1902 09:14 </t>
  </si>
  <si>
    <t> -0.055 </t>
  </si>
  <si>
    <t>P </t>
  </si>
  <si>
    <t> S.Gaposchkin </t>
  </si>
  <si>
    <t> HB 918.13 </t>
  </si>
  <si>
    <t>2416775.814 </t>
  </si>
  <si>
    <t> 22.10.1904 07:32 </t>
  </si>
  <si>
    <t> -0.021 </t>
  </si>
  <si>
    <t>2417140.855 </t>
  </si>
  <si>
    <t> 22.10.1905 08:31 </t>
  </si>
  <si>
    <t> 0.031 </t>
  </si>
  <si>
    <t>2417521.778 </t>
  </si>
  <si>
    <t> 07.11.1906 06:40 </t>
  </si>
  <si>
    <t> -0.019 </t>
  </si>
  <si>
    <t>2418560.825 </t>
  </si>
  <si>
    <t> 11.09.1909 07:48 </t>
  </si>
  <si>
    <t> 0.008 </t>
  </si>
  <si>
    <t>2418592.796 </t>
  </si>
  <si>
    <t> 13.10.1909 07:06 </t>
  </si>
  <si>
    <t> 0.009 </t>
  </si>
  <si>
    <t>2418600.785 </t>
  </si>
  <si>
    <t> 21.10.1909 06:50 </t>
  </si>
  <si>
    <t> 0.006 </t>
  </si>
  <si>
    <t>2420417.794 </t>
  </si>
  <si>
    <t> 12.10.1914 07:03 </t>
  </si>
  <si>
    <t> 0.063 </t>
  </si>
  <si>
    <t>2421576.612 </t>
  </si>
  <si>
    <t> 14.12.1917 02:41 </t>
  </si>
  <si>
    <t> -0.025 </t>
  </si>
  <si>
    <t>2423004.599 </t>
  </si>
  <si>
    <t> 11.11.1921 02:22 </t>
  </si>
  <si>
    <t> -0.023 </t>
  </si>
  <si>
    <t>2426217.580 </t>
  </si>
  <si>
    <t> 29.08.1930 01:55 </t>
  </si>
  <si>
    <t> -0.010 </t>
  </si>
  <si>
    <t> C.Hoffmeister </t>
  </si>
  <si>
    <t> AN 253.199 </t>
  </si>
  <si>
    <t>2426273.553 </t>
  </si>
  <si>
    <t> 24.10.1930 01:16 </t>
  </si>
  <si>
    <t> 0.016 </t>
  </si>
  <si>
    <t>2426955.563 </t>
  </si>
  <si>
    <t> 05.09.1932 01:30 </t>
  </si>
  <si>
    <t> 0.003 </t>
  </si>
  <si>
    <t>2426979.517 </t>
  </si>
  <si>
    <t> 29.09.1932 00:24 </t>
  </si>
  <si>
    <t> -0.020 </t>
  </si>
  <si>
    <t>2428924.358 </t>
  </si>
  <si>
    <t> 25.01.1938 20:35 </t>
  </si>
  <si>
    <t>V </t>
  </si>
  <si>
    <t> F.Lause </t>
  </si>
  <si>
    <t> AN 277.41 </t>
  </si>
  <si>
    <t>2428948.435 </t>
  </si>
  <si>
    <t> 18.02.1938 22:26 </t>
  </si>
  <si>
    <t> 0.090 </t>
  </si>
  <si>
    <t>2428956.329 </t>
  </si>
  <si>
    <t> 26.02.1938 19:53 </t>
  </si>
  <si>
    <t> -0.009 </t>
  </si>
  <si>
    <t>2428964.322 </t>
  </si>
  <si>
    <t> 06.03.1938 19:43 </t>
  </si>
  <si>
    <t> -0.008 </t>
  </si>
  <si>
    <t>2429230.747 </t>
  </si>
  <si>
    <t> 28.11.1938 05:55 </t>
  </si>
  <si>
    <t> 0.001 </t>
  </si>
  <si>
    <t>2429571.773 </t>
  </si>
  <si>
    <t> 04.11.1939 06:33 </t>
  </si>
  <si>
    <t>2429571.816 </t>
  </si>
  <si>
    <t> 04.11.1939 07:35 </t>
  </si>
  <si>
    <t> 0.059 </t>
  </si>
  <si>
    <t>2429763.910 </t>
  </si>
  <si>
    <t> 14.05.1940 09:50 </t>
  </si>
  <si>
    <t> 0.334 </t>
  </si>
  <si>
    <t> HA 113.74 </t>
  </si>
  <si>
    <t>2429896.815 </t>
  </si>
  <si>
    <t> 24.09.1940 07:33 </t>
  </si>
  <si>
    <t>2429912.779 </t>
  </si>
  <si>
    <t> 10.10.1940 06:41 </t>
  </si>
  <si>
    <t> 0.011 </t>
  </si>
  <si>
    <t>2429952.779 </t>
  </si>
  <si>
    <t> 19.11.1940 06:41 </t>
  </si>
  <si>
    <t> 0.048 </t>
  </si>
  <si>
    <t>2430293.749 </t>
  </si>
  <si>
    <t> 26.10.1941 05:58 </t>
  </si>
  <si>
    <t> 0.007 </t>
  </si>
  <si>
    <t>2430325.674 </t>
  </si>
  <si>
    <t> 27.11.1941 04:10 </t>
  </si>
  <si>
    <t> -0.038 </t>
  </si>
  <si>
    <t>2431055.696 </t>
  </si>
  <si>
    <t> 27.11.1943 04:42 </t>
  </si>
  <si>
    <t>2432230.591 </t>
  </si>
  <si>
    <t> 14.02.1947 02:11 </t>
  </si>
  <si>
    <t> 0.010 </t>
  </si>
  <si>
    <t> A.Soloviev </t>
  </si>
  <si>
    <t> AC 62.9 </t>
  </si>
  <si>
    <t>2433298.834 </t>
  </si>
  <si>
    <t> 17.01.1950 08:00 </t>
  </si>
  <si>
    <t> -0.072 </t>
  </si>
  <si>
    <t> S.Kaho </t>
  </si>
  <si>
    <t> BTOK 30.278 </t>
  </si>
  <si>
    <t>2433597.293 </t>
  </si>
  <si>
    <t> 11.11.1950 19:01 </t>
  </si>
  <si>
    <t> 0.002 </t>
  </si>
  <si>
    <t> G.S.Filatov </t>
  </si>
  <si>
    <t> BTAD 35.33 </t>
  </si>
  <si>
    <t>2433647.809 </t>
  </si>
  <si>
    <t> 01.01.1951 07:24 </t>
  </si>
  <si>
    <t> -0.101 </t>
  </si>
  <si>
    <t> BTOK 49.385 </t>
  </si>
  <si>
    <t>2435432.894 </t>
  </si>
  <si>
    <t> 21.11.1955 09:27 </t>
  </si>
  <si>
    <t>E </t>
  </si>
  <si>
    <t>?</t>
  </si>
  <si>
    <t> R.H.Koch </t>
  </si>
  <si>
    <t> AJ 65.145 </t>
  </si>
  <si>
    <t>2435456.868 </t>
  </si>
  <si>
    <t> 15.12.1955 08:49 </t>
  </si>
  <si>
    <t> -0.001 </t>
  </si>
  <si>
    <t>2435478.187 </t>
  </si>
  <si>
    <t> 05.01.1956 16:29 </t>
  </si>
  <si>
    <t> 0.005 </t>
  </si>
  <si>
    <t>2435510.167 </t>
  </si>
  <si>
    <t> 06.02.1956 16:00 </t>
  </si>
  <si>
    <t> 0.015 </t>
  </si>
  <si>
    <t>2435542.138 </t>
  </si>
  <si>
    <t> 09.03.1956 15:18 </t>
  </si>
  <si>
    <t>2435765.9102 </t>
  </si>
  <si>
    <t> 19.10.1956 09:50 </t>
  </si>
  <si>
    <t> -0.0002 </t>
  </si>
  <si>
    <t>2435811.180 </t>
  </si>
  <si>
    <t> 03.12.1956 16:19 </t>
  </si>
  <si>
    <t>2440566.710 </t>
  </si>
  <si>
    <t> 11.12.1969 05:02 </t>
  </si>
  <si>
    <t> -0.002 </t>
  </si>
  <si>
    <t> M.Baldwin </t>
  </si>
  <si>
    <t>IBVS 795 </t>
  </si>
  <si>
    <t>2441616.409 </t>
  </si>
  <si>
    <t> 25.10.1972 21:48 </t>
  </si>
  <si>
    <t> 0.021 </t>
  </si>
  <si>
    <t> K.Locher </t>
  </si>
  <si>
    <t> BBS 6 </t>
  </si>
  <si>
    <t>2441688.313 </t>
  </si>
  <si>
    <t> 05.01.1973 19:30 </t>
  </si>
  <si>
    <t> -0.007 </t>
  </si>
  <si>
    <t> BBS 7 </t>
  </si>
  <si>
    <t>2441728.308 </t>
  </si>
  <si>
    <t> 14.02.1973 19:23 </t>
  </si>
  <si>
    <t> 0.025 </t>
  </si>
  <si>
    <t> BBS 8 </t>
  </si>
  <si>
    <t>2442426.284 </t>
  </si>
  <si>
    <t> 13.01.1975 18:48 </t>
  </si>
  <si>
    <t> -0.006 </t>
  </si>
  <si>
    <t> R.Germann </t>
  </si>
  <si>
    <t> BBS 20 </t>
  </si>
  <si>
    <t>2446707.543 </t>
  </si>
  <si>
    <t> 04.10.1986 01:01 </t>
  </si>
  <si>
    <t> -0.040 </t>
  </si>
  <si>
    <t> A.Paschke </t>
  </si>
  <si>
    <t> BBS 82 </t>
  </si>
  <si>
    <t>2447477.466 </t>
  </si>
  <si>
    <t> 11.11.1988 23:11 </t>
  </si>
  <si>
    <t> -0.057 </t>
  </si>
  <si>
    <t> BBS 90 </t>
  </si>
  <si>
    <t>2449374.3941 </t>
  </si>
  <si>
    <t> 21.01.1994 21:27 </t>
  </si>
  <si>
    <t> -0.0047 </t>
  </si>
  <si>
    <t> E.Blättler </t>
  </si>
  <si>
    <t> BBS 106 </t>
  </si>
  <si>
    <t>2450096.376 </t>
  </si>
  <si>
    <t> 13.01.1996 21:01 </t>
  </si>
  <si>
    <t> M.Kohl </t>
  </si>
  <si>
    <t> BBS 111 </t>
  </si>
  <si>
    <t>2451098.105 </t>
  </si>
  <si>
    <t> 11.10.1998 14:31 </t>
  </si>
  <si>
    <t> -0.000 </t>
  </si>
  <si>
    <t>C </t>
  </si>
  <si>
    <t>Rc</t>
  </si>
  <si>
    <t> S.Kiyota </t>
  </si>
  <si>
    <t>VSB 47 </t>
  </si>
  <si>
    <t>2452621.992 </t>
  </si>
  <si>
    <t> 13.12.2002 11:48 </t>
  </si>
  <si>
    <t> Kanai </t>
  </si>
  <si>
    <t>VSB 40 </t>
  </si>
  <si>
    <t>2452637.970 </t>
  </si>
  <si>
    <t> 29.12.2002 11:16 </t>
  </si>
  <si>
    <t> -0.015 </t>
  </si>
  <si>
    <t>2452637.9797 </t>
  </si>
  <si>
    <t> 29.12.2002 11:30 </t>
  </si>
  <si>
    <t> -0.0053 </t>
  </si>
  <si>
    <t> Nagai </t>
  </si>
  <si>
    <t>2453296.035 </t>
  </si>
  <si>
    <t> 17.10.2004 12:50 </t>
  </si>
  <si>
    <t> 0.004 </t>
  </si>
  <si>
    <t>VSB 43 </t>
  </si>
  <si>
    <t>2453306.6756 </t>
  </si>
  <si>
    <t> 28.10.2004 04:12 </t>
  </si>
  <si>
    <t> -0.0115 </t>
  </si>
  <si>
    <t>-I</t>
  </si>
  <si>
    <t> W.Ogloza et al. </t>
  </si>
  <si>
    <t>IBVS 5843 </t>
  </si>
  <si>
    <t>2453375.949 </t>
  </si>
  <si>
    <t> 05.01.2005 10:46 </t>
  </si>
  <si>
    <t>9323</t>
  </si>
  <si>
    <t>VSB 44 </t>
  </si>
  <si>
    <t>2453391.938 </t>
  </si>
  <si>
    <t> 21.01.2005 10:30 </t>
  </si>
  <si>
    <t>9329</t>
  </si>
  <si>
    <t>2453764.916 </t>
  </si>
  <si>
    <t> 29.01.2006 09:59 </t>
  </si>
  <si>
    <t>9469</t>
  </si>
  <si>
    <t> -0.005 </t>
  </si>
  <si>
    <t> K. Nagai et al. </t>
  </si>
  <si>
    <t>VSB 45 </t>
  </si>
  <si>
    <t>2454097.9306 </t>
  </si>
  <si>
    <t> 28.12.2006 10:20 </t>
  </si>
  <si>
    <t>9594</t>
  </si>
  <si>
    <t> -0.0097 </t>
  </si>
  <si>
    <t>2454113.9165 </t>
  </si>
  <si>
    <t> 13.01.2007 09:59 </t>
  </si>
  <si>
    <t>9600</t>
  </si>
  <si>
    <t> -0.0087 </t>
  </si>
  <si>
    <t>Ic</t>
  </si>
  <si>
    <t> K.Nakajima </t>
  </si>
  <si>
    <t>VSB 46 </t>
  </si>
  <si>
    <t>2454454.926 </t>
  </si>
  <si>
    <t> 20.12.2007 10:13 </t>
  </si>
  <si>
    <t>9728</t>
  </si>
  <si>
    <t> -0.011 </t>
  </si>
  <si>
    <t> K.Kanai </t>
  </si>
  <si>
    <t>2456959.252 </t>
  </si>
  <si>
    <t> 28.10.2014 18:02 </t>
  </si>
  <si>
    <t>10668</t>
  </si>
  <si>
    <t> 0.012 </t>
  </si>
  <si>
    <t>VSB 59 </t>
  </si>
  <si>
    <t>2456975.226 </t>
  </si>
  <si>
    <t> 13.11.2014 17:25 </t>
  </si>
  <si>
    <t>10674</t>
  </si>
  <si>
    <t>BAD?</t>
  </si>
  <si>
    <t>VSB_061</t>
  </si>
  <si>
    <t>IBVS 6230</t>
  </si>
  <si>
    <t>VSB,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</si>
</sst>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5" fillId="0" borderId="0" xfId="42" applyFont="1" applyAlignment="1">
      <alignment horizontal="left" vertical="center" wrapText="1"/>
    </xf>
    <xf numFmtId="0" fontId="35" fillId="0" borderId="0" xfId="42" applyFont="1" applyAlignment="1">
      <alignment horizontal="center" vertic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Eri - O-C Diagr.</a:t>
            </a:r>
          </a:p>
        </c:rich>
      </c:tx>
      <c:layout>
        <c:manualLayout>
          <c:xMode val="edge"/>
          <c:yMode val="edge"/>
          <c:x val="0.3899088990023035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5677584572082"/>
          <c:y val="0.14769252958613219"/>
          <c:w val="0.8180440349711435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10">
                  <c:v>-9.6079999966605101E-3</c:v>
                </c:pt>
                <c:pt idx="11">
                  <c:v>1.6200000001845183E-2</c:v>
                </c:pt>
                <c:pt idx="12">
                  <c:v>3.2879999998840503E-3</c:v>
                </c:pt>
                <c:pt idx="13">
                  <c:v>-2.0079999998415587E-2</c:v>
                </c:pt>
                <c:pt idx="14">
                  <c:v>0</c:v>
                </c:pt>
                <c:pt idx="15">
                  <c:v>-1.0039999997388804E-2</c:v>
                </c:pt>
                <c:pt idx="16">
                  <c:v>8.9592000003904104E-2</c:v>
                </c:pt>
                <c:pt idx="17">
                  <c:v>-8.8639999958104454E-3</c:v>
                </c:pt>
                <c:pt idx="18">
                  <c:v>-8.3199999971839134E-3</c:v>
                </c:pt>
                <c:pt idx="29">
                  <c:v>1.0328000000299653E-2</c:v>
                </c:pt>
                <c:pt idx="33">
                  <c:v>2.6240000006509945E-3</c:v>
                </c:pt>
                <c:pt idx="34">
                  <c:v>-7.4399999721208587E-4</c:v>
                </c:pt>
                <c:pt idx="38">
                  <c:v>-1.7600000137463212E-4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1-452F-98F7-367196247A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0">
                  <c:v>-5.5255999997825711E-2</c:v>
                </c:pt>
                <c:pt idx="1">
                  <c:v>-2.0920000002661254E-2</c:v>
                </c:pt>
                <c:pt idx="2">
                  <c:v>3.1255999998393236E-2</c:v>
                </c:pt>
                <c:pt idx="3">
                  <c:v>-1.9480000002658926E-2</c:v>
                </c:pt>
                <c:pt idx="4">
                  <c:v>8.2400000028428622E-3</c:v>
                </c:pt>
                <c:pt idx="5">
                  <c:v>9.4159999971452635E-3</c:v>
                </c:pt>
                <c:pt idx="6">
                  <c:v>5.9599999985948671E-3</c:v>
                </c:pt>
                <c:pt idx="7">
                  <c:v>6.3296000003902009E-2</c:v>
                </c:pt>
                <c:pt idx="8">
                  <c:v>-2.4823999996442581E-2</c:v>
                </c:pt>
                <c:pt idx="9">
                  <c:v>-2.3295999999390915E-2</c:v>
                </c:pt>
                <c:pt idx="19">
                  <c:v>1.4799999989918433E-3</c:v>
                </c:pt>
                <c:pt idx="20">
                  <c:v>1.6024000000470551E-2</c:v>
                </c:pt>
                <c:pt idx="21">
                  <c:v>5.9023999998316867E-2</c:v>
                </c:pt>
                <c:pt idx="23">
                  <c:v>3.1480000001465669E-2</c:v>
                </c:pt>
                <c:pt idx="24">
                  <c:v>1.0568000001512701E-2</c:v>
                </c:pt>
                <c:pt idx="25">
                  <c:v>4.8287999998137821E-2</c:v>
                </c:pt>
                <c:pt idx="26">
                  <c:v>6.8320000027597416E-3</c:v>
                </c:pt>
                <c:pt idx="27">
                  <c:v>-3.7992000001395354E-2</c:v>
                </c:pt>
                <c:pt idx="28">
                  <c:v>6.3599999994039536E-3</c:v>
                </c:pt>
                <c:pt idx="30">
                  <c:v>-7.1623999996518251E-2</c:v>
                </c:pt>
                <c:pt idx="31">
                  <c:v>2.3519999958807603E-3</c:v>
                </c:pt>
                <c:pt idx="32">
                  <c:v>-0.10053599999810103</c:v>
                </c:pt>
                <c:pt idx="35">
                  <c:v>5.0399999963701703E-3</c:v>
                </c:pt>
                <c:pt idx="36">
                  <c:v>1.5215999999782071E-2</c:v>
                </c:pt>
                <c:pt idx="37">
                  <c:v>1.6391999997722451E-2</c:v>
                </c:pt>
                <c:pt idx="39">
                  <c:v>-2.0960000001650769E-2</c:v>
                </c:pt>
                <c:pt idx="40">
                  <c:v>-2.2800000006100163E-3</c:v>
                </c:pt>
                <c:pt idx="41">
                  <c:v>1.7832000005000737E-2</c:v>
                </c:pt>
                <c:pt idx="42">
                  <c:v>2.0832000001973938E-2</c:v>
                </c:pt>
                <c:pt idx="43">
                  <c:v>-7.2719999952823855E-3</c:v>
                </c:pt>
                <c:pt idx="44">
                  <c:v>2.54480000003241E-2</c:v>
                </c:pt>
                <c:pt idx="45">
                  <c:v>-6.375999997544568E-3</c:v>
                </c:pt>
                <c:pt idx="46">
                  <c:v>-3.9640000002691522E-2</c:v>
                </c:pt>
                <c:pt idx="47">
                  <c:v>-5.6567999999970198E-2</c:v>
                </c:pt>
                <c:pt idx="49">
                  <c:v>-7.9840000034892E-3</c:v>
                </c:pt>
                <c:pt idx="50">
                  <c:v>-1.359999951091595E-4</c:v>
                </c:pt>
                <c:pt idx="51">
                  <c:v>-8.0799999996088445E-3</c:v>
                </c:pt>
                <c:pt idx="52">
                  <c:v>-1.4991999996709637E-2</c:v>
                </c:pt>
                <c:pt idx="54">
                  <c:v>4.4640000051003881E-3</c:v>
                </c:pt>
                <c:pt idx="56">
                  <c:v>-6.0959999973420054E-3</c:v>
                </c:pt>
                <c:pt idx="57">
                  <c:v>-2.0080000031157397E-3</c:v>
                </c:pt>
                <c:pt idx="58">
                  <c:v>-5.288000000291504E-3</c:v>
                </c:pt>
                <c:pt idx="61">
                  <c:v>-1.0655999998562038E-2</c:v>
                </c:pt>
                <c:pt idx="62">
                  <c:v>-1.5175999993516598E-2</c:v>
                </c:pt>
                <c:pt idx="64">
                  <c:v>1.2463999999454245E-2</c:v>
                </c:pt>
                <c:pt idx="66">
                  <c:v>1.5520000015385449E-3</c:v>
                </c:pt>
                <c:pt idx="67">
                  <c:v>3.3759997677407227E-3</c:v>
                </c:pt>
                <c:pt idx="68">
                  <c:v>2.5519998089293949E-3</c:v>
                </c:pt>
                <c:pt idx="69">
                  <c:v>-1.0816000001796056E-2</c:v>
                </c:pt>
                <c:pt idx="70">
                  <c:v>-1.0816000001796056E-2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1-452F-98F7-367196247A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48">
                  <c:v>-4.6920000022510067E-3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1-452F-98F7-367196247A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53">
                  <c:v>-5.2919999943696894E-3</c:v>
                </c:pt>
                <c:pt idx="55">
                  <c:v>-1.1543999993591569E-2</c:v>
                </c:pt>
                <c:pt idx="59">
                  <c:v>-9.6879999982775189E-3</c:v>
                </c:pt>
                <c:pt idx="60">
                  <c:v>-8.6999999984982423E-3</c:v>
                </c:pt>
                <c:pt idx="63">
                  <c:v>-1.2215999995532911E-2</c:v>
                </c:pt>
                <c:pt idx="65">
                  <c:v>-1.2095999998564366E-2</c:v>
                </c:pt>
                <c:pt idx="71">
                  <c:v>-1.6936000101850368E-2</c:v>
                </c:pt>
                <c:pt idx="72">
                  <c:v>-1.5891999770246912E-2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1-452F-98F7-367196247A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1-452F-98F7-367196247A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C1-452F-98F7-367196247A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C1-452F-98F7-367196247A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4.0593208237847808E-3</c:v>
                </c:pt>
                <c:pt idx="1">
                  <c:v>3.8487072762348161E-3</c:v>
                </c:pt>
                <c:pt idx="2">
                  <c:v>3.7547201230936278E-3</c:v>
                </c:pt>
                <c:pt idx="3">
                  <c:v>3.6566167442674226E-3</c:v>
                </c:pt>
                <c:pt idx="4">
                  <c:v>3.3890620747414101E-3</c:v>
                </c:pt>
                <c:pt idx="5">
                  <c:v>3.3808296233713789E-3</c:v>
                </c:pt>
                <c:pt idx="6">
                  <c:v>3.3787715105288709E-3</c:v>
                </c:pt>
                <c:pt idx="7">
                  <c:v>2.9108938576654329E-3</c:v>
                </c:pt>
                <c:pt idx="8">
                  <c:v>2.612467495501803E-3</c:v>
                </c:pt>
                <c:pt idx="9">
                  <c:v>2.2447513343070782E-3</c:v>
                </c:pt>
                <c:pt idx="10">
                  <c:v>1.4173899716189459E-3</c:v>
                </c:pt>
                <c:pt idx="11">
                  <c:v>1.4029831817213914E-3</c:v>
                </c:pt>
                <c:pt idx="12">
                  <c:v>1.2273575524940599E-3</c:v>
                </c:pt>
                <c:pt idx="13">
                  <c:v>1.2211832139665366E-3</c:v>
                </c:pt>
                <c:pt idx="14">
                  <c:v>8.1985120967751723E-4</c:v>
                </c:pt>
                <c:pt idx="15">
                  <c:v>7.2037575562297401E-4</c:v>
                </c:pt>
                <c:pt idx="16">
                  <c:v>7.1420141709545065E-4</c:v>
                </c:pt>
                <c:pt idx="17">
                  <c:v>7.1214330425294287E-4</c:v>
                </c:pt>
                <c:pt idx="18">
                  <c:v>7.1008519141043508E-4</c:v>
                </c:pt>
                <c:pt idx="19">
                  <c:v>6.4148142999350863E-4</c:v>
                </c:pt>
                <c:pt idx="20">
                  <c:v>5.5366861537984289E-4</c:v>
                </c:pt>
                <c:pt idx="21">
                  <c:v>5.5366861537984289E-4</c:v>
                </c:pt>
                <c:pt idx="22">
                  <c:v>5.0427390715965595E-4</c:v>
                </c:pt>
                <c:pt idx="23">
                  <c:v>4.6997202645119272E-4</c:v>
                </c:pt>
                <c:pt idx="24">
                  <c:v>4.6585580076617715E-4</c:v>
                </c:pt>
                <c:pt idx="25">
                  <c:v>4.5556523655363823E-4</c:v>
                </c:pt>
                <c:pt idx="26">
                  <c:v>3.6775242193997243E-4</c:v>
                </c:pt>
                <c:pt idx="27">
                  <c:v>3.595199705699413E-4</c:v>
                </c:pt>
                <c:pt idx="28">
                  <c:v>1.7154566428756305E-4</c:v>
                </c:pt>
                <c:pt idx="29">
                  <c:v>-1.309969235610823E-4</c:v>
                </c:pt>
                <c:pt idx="30">
                  <c:v>-4.0609800684295689E-4</c:v>
                </c:pt>
                <c:pt idx="31">
                  <c:v>-4.8293421962991448E-4</c:v>
                </c:pt>
                <c:pt idx="32">
                  <c:v>-4.9596893429913053E-4</c:v>
                </c:pt>
                <c:pt idx="33">
                  <c:v>-9.5561413579253718E-4</c:v>
                </c:pt>
                <c:pt idx="34">
                  <c:v>-9.6178847432006054E-4</c:v>
                </c:pt>
                <c:pt idx="35">
                  <c:v>-9.6727677523341478E-4</c:v>
                </c:pt>
                <c:pt idx="36">
                  <c:v>-9.7550922660344591E-4</c:v>
                </c:pt>
                <c:pt idx="37">
                  <c:v>-9.8374167797347705E-4</c:v>
                </c:pt>
                <c:pt idx="38">
                  <c:v>-1.0413688375636952E-3</c:v>
                </c:pt>
                <c:pt idx="39">
                  <c:v>-1.0530314770045726E-3</c:v>
                </c:pt>
                <c:pt idx="40">
                  <c:v>-2.2776086182967085E-3</c:v>
                </c:pt>
                <c:pt idx="41">
                  <c:v>-2.5479074382793983E-3</c:v>
                </c:pt>
                <c:pt idx="42">
                  <c:v>-2.5479074382793983E-3</c:v>
                </c:pt>
                <c:pt idx="43">
                  <c:v>-2.5664304538619686E-3</c:v>
                </c:pt>
                <c:pt idx="44">
                  <c:v>-2.5767210180745077E-3</c:v>
                </c:pt>
                <c:pt idx="45">
                  <c:v>-2.7564628729868541E-3</c:v>
                </c:pt>
                <c:pt idx="46">
                  <c:v>-3.858925318956861E-3</c:v>
                </c:pt>
                <c:pt idx="47">
                  <c:v>-4.0571901894517785E-3</c:v>
                </c:pt>
                <c:pt idx="48">
                  <c:v>-4.5456489707402939E-3</c:v>
                </c:pt>
                <c:pt idx="49">
                  <c:v>-4.7315651641801643E-3</c:v>
                </c:pt>
                <c:pt idx="50">
                  <c:v>-4.9895153071078079E-3</c:v>
                </c:pt>
                <c:pt idx="51">
                  <c:v>-5.3819288224126261E-3</c:v>
                </c:pt>
                <c:pt idx="52">
                  <c:v>-5.3860450480976421E-3</c:v>
                </c:pt>
                <c:pt idx="53">
                  <c:v>-5.3860450480976421E-3</c:v>
                </c:pt>
                <c:pt idx="54">
                  <c:v>-5.5554963387974502E-3</c:v>
                </c:pt>
                <c:pt idx="55">
                  <c:v>-5.5582404892541275E-3</c:v>
                </c:pt>
                <c:pt idx="56">
                  <c:v>-5.5760774672225276E-3</c:v>
                </c:pt>
                <c:pt idx="57">
                  <c:v>-5.5801936929075436E-3</c:v>
                </c:pt>
                <c:pt idx="58">
                  <c:v>-5.6762389588912408E-3</c:v>
                </c:pt>
                <c:pt idx="59">
                  <c:v>-5.7619936606623989E-3</c:v>
                </c:pt>
                <c:pt idx="60">
                  <c:v>-5.766109886347414E-3</c:v>
                </c:pt>
                <c:pt idx="61">
                  <c:v>-5.8539227009610801E-3</c:v>
                </c:pt>
                <c:pt idx="62">
                  <c:v>-6.1180471824162468E-3</c:v>
                </c:pt>
                <c:pt idx="63">
                  <c:v>-6.2175226364707898E-3</c:v>
                </c:pt>
                <c:pt idx="64">
                  <c:v>-6.498798058280188E-3</c:v>
                </c:pt>
                <c:pt idx="65">
                  <c:v>-6.5022282463510338E-3</c:v>
                </c:pt>
                <c:pt idx="66">
                  <c:v>-6.5029142839652032E-3</c:v>
                </c:pt>
                <c:pt idx="67">
                  <c:v>-6.5804365343663301E-3</c:v>
                </c:pt>
                <c:pt idx="68">
                  <c:v>-6.5886689857363612E-3</c:v>
                </c:pt>
                <c:pt idx="69">
                  <c:v>-6.5948433242638844E-3</c:v>
                </c:pt>
                <c:pt idx="70">
                  <c:v>-6.5948433242638844E-3</c:v>
                </c:pt>
                <c:pt idx="71">
                  <c:v>-7.1505337917409885E-3</c:v>
                </c:pt>
                <c:pt idx="72">
                  <c:v>-7.1525919045834956E-3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C1-452F-98F7-367196247A01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Active!$U$21:$U$985</c:f>
              <c:numCache>
                <c:formatCode>General</c:formatCode>
                <c:ptCount val="965"/>
                <c:pt idx="22">
                  <c:v>0.33408000000054017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C1-452F-98F7-36719624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240"/>
        <c:axId val="1"/>
      </c:scatterChart>
      <c:valAx>
        <c:axId val="452538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65824684758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2966360856269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84129965405698"/>
          <c:y val="0.92000129214617399"/>
          <c:w val="0.749236597718863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57150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8749D8A-B1C0-A5B2-556D-8BD6D2445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vsolj.cetus-net.org/no46.pdf" TargetMode="External"/><Relationship Id="rId3" Type="http://schemas.openxmlformats.org/officeDocument/2006/relationships/hyperlink" Target="http://vsolj.cetus-net.org/no40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vsolj.cetus-net.org/no46.pdf" TargetMode="External"/><Relationship Id="rId2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konkoly.hu/cgi-bin/IBVS?795" TargetMode="External"/><Relationship Id="rId6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vsolj.cetus-net.org/no45.pdf" TargetMode="External"/><Relationship Id="rId5" Type="http://schemas.openxmlformats.org/officeDocument/2006/relationships/hyperlink" Target="http://vsolj.cetus-net.org/no40.pdf" TargetMode="External"/><Relationship Id="rId15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vsolj.cetus-net.org/no45.pdf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vsolj.cetus-net.org/no44.pdf" TargetMode="External"/><Relationship Id="rId1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33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25</v>
      </c>
      <c r="B2" s="8" t="s">
        <v>47</v>
      </c>
    </row>
    <row r="4" spans="1:6" ht="14.25" thickTop="1" thickBot="1" x14ac:dyDescent="0.25">
      <c r="A4" s="5" t="s">
        <v>1</v>
      </c>
      <c r="C4" s="2">
        <v>28538.065999999999</v>
      </c>
      <c r="D4" s="3">
        <v>2.6641520000000001</v>
      </c>
    </row>
    <row r="5" spans="1:6" ht="13.5" thickTop="1" x14ac:dyDescent="0.2">
      <c r="A5" s="10" t="s">
        <v>52</v>
      </c>
      <c r="B5" s="11"/>
      <c r="C5" s="12">
        <v>-9.5</v>
      </c>
      <c r="D5" s="11" t="s">
        <v>53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28538.065999999999</v>
      </c>
    </row>
    <row r="8" spans="1:6" x14ac:dyDescent="0.2">
      <c r="A8" t="s">
        <v>4</v>
      </c>
      <c r="C8">
        <f>+D4</f>
        <v>2.6641520000000001</v>
      </c>
    </row>
    <row r="9" spans="1:6" x14ac:dyDescent="0.2">
      <c r="A9" s="26" t="s">
        <v>57</v>
      </c>
      <c r="B9" s="27">
        <v>21</v>
      </c>
      <c r="C9" s="15" t="str">
        <f>"F"&amp;B9</f>
        <v>F21</v>
      </c>
      <c r="D9" s="16" t="str">
        <f>"G"&amp;B9</f>
        <v>G21</v>
      </c>
    </row>
    <row r="10" spans="1:6" ht="13.5" thickBot="1" x14ac:dyDescent="0.25">
      <c r="A10" s="11"/>
      <c r="B10" s="11"/>
      <c r="C10" s="4" t="s">
        <v>21</v>
      </c>
      <c r="D10" s="4" t="s">
        <v>22</v>
      </c>
      <c r="E10" s="11"/>
    </row>
    <row r="11" spans="1:6" x14ac:dyDescent="0.2">
      <c r="A11" s="11" t="s">
        <v>17</v>
      </c>
      <c r="B11" s="11"/>
      <c r="C11" s="13">
        <f ca="1">INTERCEPT(INDIRECT($D$9):G984,INDIRECT($C$9):F984)</f>
        <v>8.1985120967751723E-4</v>
      </c>
      <c r="D11" s="14"/>
      <c r="E11" s="11"/>
    </row>
    <row r="12" spans="1:6" x14ac:dyDescent="0.2">
      <c r="A12" s="11" t="s">
        <v>18</v>
      </c>
      <c r="B12" s="11"/>
      <c r="C12" s="13">
        <f ca="1">SLOPE(INDIRECT($D$9):G984,INDIRECT($C$9):F984)</f>
        <v>-6.860376141692637E-7</v>
      </c>
      <c r="D12" s="14"/>
      <c r="E12" s="11"/>
    </row>
    <row r="13" spans="1:6" x14ac:dyDescent="0.2">
      <c r="A13" s="11" t="s">
        <v>20</v>
      </c>
      <c r="B13" s="11"/>
      <c r="C13" s="14" t="s">
        <v>15</v>
      </c>
    </row>
    <row r="14" spans="1:6" x14ac:dyDescent="0.2">
      <c r="A14" s="11"/>
      <c r="B14" s="11"/>
      <c r="C14" s="11"/>
    </row>
    <row r="15" spans="1:6" x14ac:dyDescent="0.2">
      <c r="A15" s="17" t="s">
        <v>19</v>
      </c>
      <c r="B15" s="11"/>
      <c r="C15" s="18">
        <f ca="1">(C7+C11)+(C8+C12)*INT(MAX(F21:F3525))</f>
        <v>59498.169239408096</v>
      </c>
      <c r="E15" s="19" t="s">
        <v>59</v>
      </c>
      <c r="F15" s="12">
        <v>1</v>
      </c>
    </row>
    <row r="16" spans="1:6" x14ac:dyDescent="0.2">
      <c r="A16" s="21" t="s">
        <v>5</v>
      </c>
      <c r="B16" s="11"/>
      <c r="C16" s="22">
        <f ca="1">+C8+C12</f>
        <v>2.6641513139623858</v>
      </c>
      <c r="E16" s="19" t="s">
        <v>54</v>
      </c>
      <c r="F16" s="20">
        <f ca="1">NOW()+15018.5+$C$5/24</f>
        <v>59958.704261458333</v>
      </c>
    </row>
    <row r="17" spans="1:21" ht="13.5" thickBot="1" x14ac:dyDescent="0.25">
      <c r="A17" s="19" t="s">
        <v>50</v>
      </c>
      <c r="B17" s="11"/>
      <c r="C17" s="11">
        <f>COUNT(C21:C2183)</f>
        <v>73</v>
      </c>
      <c r="E17" s="19" t="s">
        <v>60</v>
      </c>
      <c r="F17" s="20">
        <f ca="1">ROUND(2*(F16-$C$7)/$C$8,0)/2+F15</f>
        <v>11795</v>
      </c>
    </row>
    <row r="18" spans="1:21" ht="14.25" thickTop="1" thickBot="1" x14ac:dyDescent="0.25">
      <c r="A18" s="21" t="s">
        <v>6</v>
      </c>
      <c r="B18" s="11"/>
      <c r="C18" s="24">
        <f ca="1">+C15</f>
        <v>59498.169239408096</v>
      </c>
      <c r="D18" s="25">
        <f ca="1">+C16</f>
        <v>2.6641513139623858</v>
      </c>
      <c r="E18" s="19" t="s">
        <v>55</v>
      </c>
      <c r="F18" s="16">
        <f ca="1">ROUND(2*(F16-$C$15)/$C$16,0)/2+F15</f>
        <v>174</v>
      </c>
    </row>
    <row r="19" spans="1:21" ht="13.5" thickTop="1" x14ac:dyDescent="0.2">
      <c r="E19" s="19" t="s">
        <v>56</v>
      </c>
      <c r="F19" s="23">
        <f ca="1">+$C$15+$C$16*F18-15018.5-$C$5/24</f>
        <v>44943.62740137089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70</v>
      </c>
      <c r="I20" s="7" t="s">
        <v>73</v>
      </c>
      <c r="J20" s="7" t="s">
        <v>67</v>
      </c>
      <c r="K20" s="7" t="s">
        <v>65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48" t="s">
        <v>311</v>
      </c>
    </row>
    <row r="21" spans="1:21" x14ac:dyDescent="0.2">
      <c r="A21" t="s">
        <v>80</v>
      </c>
      <c r="B21" t="s">
        <v>49</v>
      </c>
      <c r="C21" s="9">
        <v>15957.885</v>
      </c>
      <c r="D21" s="9" t="s">
        <v>73</v>
      </c>
      <c r="E21" s="28">
        <f t="shared" ref="E21:E52" si="0">+(C21-C$7)/C$8</f>
        <v>-4722.020740558346</v>
      </c>
      <c r="F21" s="28">
        <f t="shared" ref="F21:F52" si="1">ROUND(2*E21,0)/2</f>
        <v>-4722</v>
      </c>
      <c r="G21" s="28">
        <f t="shared" ref="G21:G42" si="2">+C21-(C$7+F21*C$8)</f>
        <v>-5.5255999997825711E-2</v>
      </c>
      <c r="H21" s="28"/>
      <c r="I21" s="28">
        <f t="shared" ref="I21:I30" si="3">+G21</f>
        <v>-5.5255999997825711E-2</v>
      </c>
      <c r="J21" s="28"/>
      <c r="K21" s="28"/>
      <c r="L21" s="28"/>
      <c r="M21" s="28"/>
      <c r="N21" s="28"/>
      <c r="O21" s="28">
        <f t="shared" ref="O21:O52" ca="1" si="4">+C$11+C$12*$F21</f>
        <v>4.0593208237847808E-3</v>
      </c>
      <c r="P21" s="28"/>
      <c r="Q21" s="30">
        <f t="shared" ref="Q21:Q52" si="5">+C21-15018.5</f>
        <v>939.38500000000022</v>
      </c>
    </row>
    <row r="22" spans="1:21" x14ac:dyDescent="0.2">
      <c r="A22" t="s">
        <v>80</v>
      </c>
      <c r="B22" t="s">
        <v>49</v>
      </c>
      <c r="C22" s="9">
        <v>16775.813999999998</v>
      </c>
      <c r="D22" s="9" t="s">
        <v>73</v>
      </c>
      <c r="E22" s="28">
        <f t="shared" si="0"/>
        <v>-4415.0078524048176</v>
      </c>
      <c r="F22" s="28">
        <f t="shared" si="1"/>
        <v>-4415</v>
      </c>
      <c r="G22" s="28">
        <f t="shared" si="2"/>
        <v>-2.0920000002661254E-2</v>
      </c>
      <c r="H22" s="28"/>
      <c r="I22" s="28">
        <f t="shared" si="3"/>
        <v>-2.0920000002661254E-2</v>
      </c>
      <c r="J22" s="28"/>
      <c r="K22" s="28"/>
      <c r="L22" s="28"/>
      <c r="M22" s="28"/>
      <c r="N22" s="28"/>
      <c r="O22" s="28">
        <f t="shared" ca="1" si="4"/>
        <v>3.8487072762348161E-3</v>
      </c>
      <c r="P22" s="28"/>
      <c r="Q22" s="30">
        <f t="shared" si="5"/>
        <v>1757.3139999999985</v>
      </c>
    </row>
    <row r="23" spans="1:21" x14ac:dyDescent="0.2">
      <c r="A23" t="s">
        <v>80</v>
      </c>
      <c r="B23" t="s">
        <v>49</v>
      </c>
      <c r="C23" s="9">
        <v>17140.855</v>
      </c>
      <c r="D23" s="9" t="s">
        <v>73</v>
      </c>
      <c r="E23" s="28">
        <f t="shared" si="0"/>
        <v>-4277.9882679366638</v>
      </c>
      <c r="F23" s="28">
        <f t="shared" si="1"/>
        <v>-4278</v>
      </c>
      <c r="G23" s="28">
        <f t="shared" si="2"/>
        <v>3.1255999998393236E-2</v>
      </c>
      <c r="H23" s="28"/>
      <c r="I23" s="28">
        <f t="shared" si="3"/>
        <v>3.1255999998393236E-2</v>
      </c>
      <c r="J23" s="28"/>
      <c r="K23" s="28"/>
      <c r="L23" s="28"/>
      <c r="M23" s="28"/>
      <c r="N23" s="28"/>
      <c r="O23" s="28">
        <f t="shared" ca="1" si="4"/>
        <v>3.7547201230936278E-3</v>
      </c>
      <c r="P23" s="28"/>
      <c r="Q23" s="30">
        <f t="shared" si="5"/>
        <v>2122.3549999999996</v>
      </c>
    </row>
    <row r="24" spans="1:21" x14ac:dyDescent="0.2">
      <c r="A24" t="s">
        <v>80</v>
      </c>
      <c r="B24" t="s">
        <v>49</v>
      </c>
      <c r="C24" s="9">
        <v>17521.777999999998</v>
      </c>
      <c r="D24" s="9" t="s">
        <v>73</v>
      </c>
      <c r="E24" s="28">
        <f t="shared" si="0"/>
        <v>-4135.0073118951168</v>
      </c>
      <c r="F24" s="28">
        <f t="shared" si="1"/>
        <v>-4135</v>
      </c>
      <c r="G24" s="28">
        <f t="shared" si="2"/>
        <v>-1.9480000002658926E-2</v>
      </c>
      <c r="H24" s="28"/>
      <c r="I24" s="28">
        <f t="shared" si="3"/>
        <v>-1.9480000002658926E-2</v>
      </c>
      <c r="J24" s="28"/>
      <c r="K24" s="28"/>
      <c r="L24" s="28"/>
      <c r="M24" s="28"/>
      <c r="N24" s="28"/>
      <c r="O24" s="28">
        <f t="shared" ca="1" si="4"/>
        <v>3.6566167442674226E-3</v>
      </c>
      <c r="P24" s="28"/>
      <c r="Q24" s="30">
        <f t="shared" si="5"/>
        <v>2503.2779999999984</v>
      </c>
    </row>
    <row r="25" spans="1:21" x14ac:dyDescent="0.2">
      <c r="A25" t="s">
        <v>80</v>
      </c>
      <c r="B25" t="s">
        <v>49</v>
      </c>
      <c r="C25" s="9">
        <v>18560.825000000001</v>
      </c>
      <c r="D25" s="9" t="s">
        <v>73</v>
      </c>
      <c r="E25" s="28">
        <f t="shared" si="0"/>
        <v>-3744.996907083379</v>
      </c>
      <c r="F25" s="28">
        <f t="shared" si="1"/>
        <v>-3745</v>
      </c>
      <c r="G25" s="28">
        <f t="shared" si="2"/>
        <v>8.2400000028428622E-3</v>
      </c>
      <c r="H25" s="28"/>
      <c r="I25" s="28">
        <f t="shared" si="3"/>
        <v>8.2400000028428622E-3</v>
      </c>
      <c r="J25" s="28"/>
      <c r="K25" s="28"/>
      <c r="L25" s="28"/>
      <c r="M25" s="28"/>
      <c r="N25" s="28"/>
      <c r="O25" s="28">
        <f t="shared" ca="1" si="4"/>
        <v>3.3890620747414101E-3</v>
      </c>
      <c r="P25" s="28"/>
      <c r="Q25" s="30">
        <f t="shared" si="5"/>
        <v>3542.3250000000007</v>
      </c>
    </row>
    <row r="26" spans="1:21" x14ac:dyDescent="0.2">
      <c r="A26" t="s">
        <v>80</v>
      </c>
      <c r="B26" t="s">
        <v>49</v>
      </c>
      <c r="C26" s="9">
        <v>18592.795999999998</v>
      </c>
      <c r="D26" s="9" t="s">
        <v>73</v>
      </c>
      <c r="E26" s="28">
        <f t="shared" si="0"/>
        <v>-3732.9964656671241</v>
      </c>
      <c r="F26" s="28">
        <f t="shared" si="1"/>
        <v>-3733</v>
      </c>
      <c r="G26" s="28">
        <f t="shared" si="2"/>
        <v>9.4159999971452635E-3</v>
      </c>
      <c r="H26" s="28"/>
      <c r="I26" s="28">
        <f t="shared" si="3"/>
        <v>9.4159999971452635E-3</v>
      </c>
      <c r="J26" s="28"/>
      <c r="K26" s="28"/>
      <c r="L26" s="28"/>
      <c r="M26" s="28"/>
      <c r="N26" s="28"/>
      <c r="O26" s="28">
        <f t="shared" ca="1" si="4"/>
        <v>3.3808296233713789E-3</v>
      </c>
      <c r="P26" s="28"/>
      <c r="Q26" s="30">
        <f t="shared" si="5"/>
        <v>3574.2959999999985</v>
      </c>
    </row>
    <row r="27" spans="1:21" x14ac:dyDescent="0.2">
      <c r="A27" t="s">
        <v>80</v>
      </c>
      <c r="B27" t="s">
        <v>49</v>
      </c>
      <c r="C27" s="9">
        <v>18600.785</v>
      </c>
      <c r="D27" s="9" t="s">
        <v>73</v>
      </c>
      <c r="E27" s="28">
        <f t="shared" si="0"/>
        <v>-3729.9977628904053</v>
      </c>
      <c r="F27" s="28">
        <f t="shared" si="1"/>
        <v>-3730</v>
      </c>
      <c r="G27" s="28">
        <f t="shared" si="2"/>
        <v>5.9599999985948671E-3</v>
      </c>
      <c r="H27" s="28"/>
      <c r="I27" s="28">
        <f t="shared" si="3"/>
        <v>5.9599999985948671E-3</v>
      </c>
      <c r="J27" s="28"/>
      <c r="K27" s="28"/>
      <c r="L27" s="28"/>
      <c r="M27" s="28"/>
      <c r="N27" s="28"/>
      <c r="O27" s="28">
        <f t="shared" ca="1" si="4"/>
        <v>3.3787715105288709E-3</v>
      </c>
      <c r="P27" s="28"/>
      <c r="Q27" s="30">
        <f t="shared" si="5"/>
        <v>3582.2849999999999</v>
      </c>
    </row>
    <row r="28" spans="1:21" x14ac:dyDescent="0.2">
      <c r="A28" t="s">
        <v>80</v>
      </c>
      <c r="B28" t="s">
        <v>49</v>
      </c>
      <c r="C28" s="9">
        <v>20417.794000000002</v>
      </c>
      <c r="D28" s="9" t="s">
        <v>73</v>
      </c>
      <c r="E28" s="28">
        <f t="shared" si="0"/>
        <v>-3047.9762415958239</v>
      </c>
      <c r="F28" s="28">
        <f t="shared" si="1"/>
        <v>-3048</v>
      </c>
      <c r="G28" s="28">
        <f t="shared" si="2"/>
        <v>6.3296000003902009E-2</v>
      </c>
      <c r="H28" s="28"/>
      <c r="I28" s="28">
        <f t="shared" si="3"/>
        <v>6.3296000003902009E-2</v>
      </c>
      <c r="J28" s="28"/>
      <c r="K28" s="28"/>
      <c r="L28" s="28"/>
      <c r="M28" s="28"/>
      <c r="N28" s="28"/>
      <c r="O28" s="28">
        <f t="shared" ca="1" si="4"/>
        <v>2.9108938576654329E-3</v>
      </c>
      <c r="P28" s="28"/>
      <c r="Q28" s="30">
        <f t="shared" si="5"/>
        <v>5399.2940000000017</v>
      </c>
    </row>
    <row r="29" spans="1:21" x14ac:dyDescent="0.2">
      <c r="A29" t="s">
        <v>80</v>
      </c>
      <c r="B29" t="s">
        <v>49</v>
      </c>
      <c r="C29" s="9">
        <v>21576.612000000001</v>
      </c>
      <c r="D29" s="9" t="s">
        <v>73</v>
      </c>
      <c r="E29" s="28">
        <f t="shared" si="0"/>
        <v>-2613.009317786672</v>
      </c>
      <c r="F29" s="28">
        <f t="shared" si="1"/>
        <v>-2613</v>
      </c>
      <c r="G29" s="28">
        <f t="shared" si="2"/>
        <v>-2.4823999996442581E-2</v>
      </c>
      <c r="H29" s="28"/>
      <c r="I29" s="28">
        <f t="shared" si="3"/>
        <v>-2.4823999996442581E-2</v>
      </c>
      <c r="J29" s="28"/>
      <c r="K29" s="28"/>
      <c r="L29" s="28"/>
      <c r="M29" s="28"/>
      <c r="N29" s="28"/>
      <c r="O29" s="28">
        <f t="shared" ca="1" si="4"/>
        <v>2.612467495501803E-3</v>
      </c>
      <c r="P29" s="28"/>
      <c r="Q29" s="30">
        <f t="shared" si="5"/>
        <v>6558.112000000001</v>
      </c>
    </row>
    <row r="30" spans="1:21" x14ac:dyDescent="0.2">
      <c r="A30" t="s">
        <v>80</v>
      </c>
      <c r="B30" t="s">
        <v>49</v>
      </c>
      <c r="C30" s="9">
        <v>23004.598999999998</v>
      </c>
      <c r="D30" s="9" t="s">
        <v>73</v>
      </c>
      <c r="E30" s="28">
        <f t="shared" si="0"/>
        <v>-2077.0087442458239</v>
      </c>
      <c r="F30" s="28">
        <f t="shared" si="1"/>
        <v>-2077</v>
      </c>
      <c r="G30" s="28">
        <f t="shared" si="2"/>
        <v>-2.3295999999390915E-2</v>
      </c>
      <c r="H30" s="28"/>
      <c r="I30" s="28">
        <f t="shared" si="3"/>
        <v>-2.3295999999390915E-2</v>
      </c>
      <c r="J30" s="28"/>
      <c r="K30" s="28"/>
      <c r="L30" s="28"/>
      <c r="M30" s="28"/>
      <c r="N30" s="28"/>
      <c r="O30" s="28">
        <f t="shared" ca="1" si="4"/>
        <v>2.2447513343070782E-3</v>
      </c>
      <c r="P30" s="28"/>
      <c r="Q30" s="30">
        <f t="shared" si="5"/>
        <v>7986.0989999999983</v>
      </c>
    </row>
    <row r="31" spans="1:21" x14ac:dyDescent="0.2">
      <c r="A31" t="s">
        <v>112</v>
      </c>
      <c r="B31" t="s">
        <v>49</v>
      </c>
      <c r="C31" s="9">
        <v>26217.58</v>
      </c>
      <c r="D31" s="9" t="s">
        <v>73</v>
      </c>
      <c r="E31" s="28">
        <f t="shared" si="0"/>
        <v>-871.00360640083488</v>
      </c>
      <c r="F31" s="28">
        <f t="shared" si="1"/>
        <v>-871</v>
      </c>
      <c r="G31" s="28">
        <f t="shared" si="2"/>
        <v>-9.6079999966605101E-3</v>
      </c>
      <c r="H31" s="28">
        <f t="shared" ref="H31:H39" si="6">+G31</f>
        <v>-9.6079999966605101E-3</v>
      </c>
      <c r="J31" s="28"/>
      <c r="K31" s="28"/>
      <c r="L31" s="28"/>
      <c r="M31" s="28"/>
      <c r="N31" s="28"/>
      <c r="O31" s="28">
        <f t="shared" ca="1" si="4"/>
        <v>1.4173899716189459E-3</v>
      </c>
      <c r="P31" s="28"/>
      <c r="Q31" s="30">
        <f t="shared" si="5"/>
        <v>11199.080000000002</v>
      </c>
    </row>
    <row r="32" spans="1:21" x14ac:dyDescent="0.2">
      <c r="A32" t="s">
        <v>112</v>
      </c>
      <c r="B32" t="s">
        <v>49</v>
      </c>
      <c r="C32" s="9">
        <v>26273.553</v>
      </c>
      <c r="D32" s="9" t="s">
        <v>73</v>
      </c>
      <c r="E32" s="28">
        <f t="shared" si="0"/>
        <v>-849.99391926586736</v>
      </c>
      <c r="F32" s="28">
        <f t="shared" si="1"/>
        <v>-850</v>
      </c>
      <c r="G32" s="28">
        <f t="shared" si="2"/>
        <v>1.6200000001845183E-2</v>
      </c>
      <c r="H32" s="28">
        <f t="shared" si="6"/>
        <v>1.6200000001845183E-2</v>
      </c>
      <c r="J32" s="28"/>
      <c r="K32" s="28"/>
      <c r="L32" s="28"/>
      <c r="M32" s="28"/>
      <c r="N32" s="28"/>
      <c r="O32" s="28">
        <f t="shared" ca="1" si="4"/>
        <v>1.4029831817213914E-3</v>
      </c>
      <c r="P32" s="28"/>
      <c r="Q32" s="30">
        <f t="shared" si="5"/>
        <v>11255.053</v>
      </c>
    </row>
    <row r="33" spans="1:21" x14ac:dyDescent="0.2">
      <c r="A33" t="s">
        <v>112</v>
      </c>
      <c r="B33" t="s">
        <v>49</v>
      </c>
      <c r="C33" s="9">
        <v>26955.562999999998</v>
      </c>
      <c r="D33" s="9" t="s">
        <v>73</v>
      </c>
      <c r="E33" s="28">
        <f t="shared" si="0"/>
        <v>-593.99876583618368</v>
      </c>
      <c r="F33" s="28">
        <f t="shared" si="1"/>
        <v>-594</v>
      </c>
      <c r="G33" s="28">
        <f t="shared" si="2"/>
        <v>3.2879999998840503E-3</v>
      </c>
      <c r="H33" s="28">
        <f t="shared" si="6"/>
        <v>3.2879999998840503E-3</v>
      </c>
      <c r="J33" s="28"/>
      <c r="K33" s="28"/>
      <c r="L33" s="28"/>
      <c r="M33" s="28"/>
      <c r="N33" s="28"/>
      <c r="O33" s="28">
        <f t="shared" ca="1" si="4"/>
        <v>1.2273575524940599E-3</v>
      </c>
      <c r="P33" s="28"/>
      <c r="Q33" s="30">
        <f t="shared" si="5"/>
        <v>11937.062999999998</v>
      </c>
    </row>
    <row r="34" spans="1:21" x14ac:dyDescent="0.2">
      <c r="A34" t="s">
        <v>112</v>
      </c>
      <c r="B34" t="s">
        <v>49</v>
      </c>
      <c r="C34" s="9">
        <v>26979.517</v>
      </c>
      <c r="D34" s="9" t="s">
        <v>73</v>
      </c>
      <c r="E34" s="28">
        <f t="shared" si="0"/>
        <v>-585.007537107492</v>
      </c>
      <c r="F34" s="28">
        <f t="shared" si="1"/>
        <v>-585</v>
      </c>
      <c r="G34" s="28">
        <f t="shared" si="2"/>
        <v>-2.0079999998415587E-2</v>
      </c>
      <c r="H34" s="28">
        <f t="shared" si="6"/>
        <v>-2.0079999998415587E-2</v>
      </c>
      <c r="J34" s="28"/>
      <c r="K34" s="28"/>
      <c r="L34" s="28"/>
      <c r="M34" s="28"/>
      <c r="N34" s="28"/>
      <c r="O34" s="28">
        <f t="shared" ca="1" si="4"/>
        <v>1.2211832139665366E-3</v>
      </c>
      <c r="P34" s="28"/>
      <c r="Q34" s="30">
        <f t="shared" si="5"/>
        <v>11961.017</v>
      </c>
    </row>
    <row r="35" spans="1:21" s="28" customFormat="1" x14ac:dyDescent="0.2">
      <c r="A35" s="28" t="s">
        <v>13</v>
      </c>
      <c r="C35" s="29">
        <v>28538.065999999999</v>
      </c>
      <c r="D35" s="29" t="s">
        <v>15</v>
      </c>
      <c r="E35" s="28">
        <f t="shared" si="0"/>
        <v>0</v>
      </c>
      <c r="F35" s="28">
        <f t="shared" si="1"/>
        <v>0</v>
      </c>
      <c r="G35" s="28">
        <f t="shared" si="2"/>
        <v>0</v>
      </c>
      <c r="H35" s="28">
        <f t="shared" si="6"/>
        <v>0</v>
      </c>
      <c r="O35" s="28">
        <f t="shared" ca="1" si="4"/>
        <v>8.1985120967751723E-4</v>
      </c>
      <c r="Q35" s="30">
        <f t="shared" si="5"/>
        <v>13519.565999999999</v>
      </c>
    </row>
    <row r="36" spans="1:21" x14ac:dyDescent="0.2">
      <c r="A36" t="s">
        <v>126</v>
      </c>
      <c r="B36" t="s">
        <v>49</v>
      </c>
      <c r="C36" s="9">
        <v>28924.358</v>
      </c>
      <c r="D36" s="9" t="s">
        <v>73</v>
      </c>
      <c r="E36" s="28">
        <f t="shared" si="0"/>
        <v>144.99623144625428</v>
      </c>
      <c r="F36" s="28">
        <f t="shared" si="1"/>
        <v>145</v>
      </c>
      <c r="G36" s="28">
        <f t="shared" si="2"/>
        <v>-1.0039999997388804E-2</v>
      </c>
      <c r="H36" s="28">
        <f t="shared" si="6"/>
        <v>-1.0039999997388804E-2</v>
      </c>
      <c r="J36" s="28"/>
      <c r="K36" s="28"/>
      <c r="L36" s="28"/>
      <c r="M36" s="28"/>
      <c r="N36" s="28"/>
      <c r="O36" s="28">
        <f t="shared" ca="1" si="4"/>
        <v>7.2037575562297401E-4</v>
      </c>
      <c r="P36" s="28"/>
      <c r="Q36" s="30">
        <f t="shared" si="5"/>
        <v>13905.858</v>
      </c>
    </row>
    <row r="37" spans="1:21" x14ac:dyDescent="0.2">
      <c r="A37" t="s">
        <v>126</v>
      </c>
      <c r="B37" t="s">
        <v>49</v>
      </c>
      <c r="C37" s="9">
        <v>28948.435000000001</v>
      </c>
      <c r="D37" s="9" t="s">
        <v>73</v>
      </c>
      <c r="E37" s="28">
        <f t="shared" si="0"/>
        <v>154.03362871187619</v>
      </c>
      <c r="F37" s="28">
        <f t="shared" si="1"/>
        <v>154</v>
      </c>
      <c r="G37" s="28">
        <f t="shared" si="2"/>
        <v>8.9592000003904104E-2</v>
      </c>
      <c r="H37" s="28">
        <f t="shared" si="6"/>
        <v>8.9592000003904104E-2</v>
      </c>
      <c r="J37" s="28"/>
      <c r="K37" s="28"/>
      <c r="L37" s="28"/>
      <c r="M37" s="28"/>
      <c r="N37" s="28"/>
      <c r="O37" s="28">
        <f t="shared" ca="1" si="4"/>
        <v>7.1420141709545065E-4</v>
      </c>
      <c r="P37" s="28"/>
      <c r="Q37" s="30">
        <f t="shared" si="5"/>
        <v>13929.935000000001</v>
      </c>
    </row>
    <row r="38" spans="1:21" x14ac:dyDescent="0.2">
      <c r="A38" t="s">
        <v>126</v>
      </c>
      <c r="B38" t="s">
        <v>49</v>
      </c>
      <c r="C38" s="9">
        <v>28956.329000000002</v>
      </c>
      <c r="D38" s="9" t="s">
        <v>73</v>
      </c>
      <c r="E38" s="28">
        <f t="shared" si="0"/>
        <v>156.99667286251034</v>
      </c>
      <c r="F38" s="28">
        <f t="shared" si="1"/>
        <v>157</v>
      </c>
      <c r="G38" s="28">
        <f t="shared" si="2"/>
        <v>-8.8639999958104454E-3</v>
      </c>
      <c r="H38" s="28">
        <f t="shared" si="6"/>
        <v>-8.8639999958104454E-3</v>
      </c>
      <c r="J38" s="28"/>
      <c r="K38" s="28"/>
      <c r="L38" s="28"/>
      <c r="M38" s="28"/>
      <c r="N38" s="28"/>
      <c r="O38" s="28">
        <f t="shared" ca="1" si="4"/>
        <v>7.1214330425294287E-4</v>
      </c>
      <c r="P38" s="28"/>
      <c r="Q38" s="30">
        <f t="shared" si="5"/>
        <v>13937.829000000002</v>
      </c>
    </row>
    <row r="39" spans="1:21" x14ac:dyDescent="0.2">
      <c r="A39" t="s">
        <v>126</v>
      </c>
      <c r="B39" t="s">
        <v>49</v>
      </c>
      <c r="C39" s="9">
        <v>28964.322</v>
      </c>
      <c r="D39" s="9" t="s">
        <v>73</v>
      </c>
      <c r="E39" s="28">
        <f t="shared" si="0"/>
        <v>159.99687705506338</v>
      </c>
      <c r="F39" s="28">
        <f t="shared" si="1"/>
        <v>160</v>
      </c>
      <c r="G39" s="28">
        <f t="shared" si="2"/>
        <v>-8.3199999971839134E-3</v>
      </c>
      <c r="H39" s="28">
        <f t="shared" si="6"/>
        <v>-8.3199999971839134E-3</v>
      </c>
      <c r="J39" s="28"/>
      <c r="K39" s="28"/>
      <c r="L39" s="28"/>
      <c r="M39" s="28"/>
      <c r="N39" s="28"/>
      <c r="O39" s="28">
        <f t="shared" ca="1" si="4"/>
        <v>7.1008519141043508E-4</v>
      </c>
      <c r="P39" s="28"/>
      <c r="Q39" s="30">
        <f t="shared" si="5"/>
        <v>13945.822</v>
      </c>
    </row>
    <row r="40" spans="1:21" x14ac:dyDescent="0.2">
      <c r="A40" t="s">
        <v>80</v>
      </c>
      <c r="B40" t="s">
        <v>49</v>
      </c>
      <c r="C40" s="9">
        <v>29230.746999999999</v>
      </c>
      <c r="D40" s="9" t="s">
        <v>73</v>
      </c>
      <c r="E40" s="28">
        <f t="shared" si="0"/>
        <v>260.00055552385919</v>
      </c>
      <c r="F40" s="28">
        <f t="shared" si="1"/>
        <v>260</v>
      </c>
      <c r="G40" s="28">
        <f t="shared" si="2"/>
        <v>1.4799999989918433E-3</v>
      </c>
      <c r="H40" s="28"/>
      <c r="I40" s="28">
        <f>+G40</f>
        <v>1.4799999989918433E-3</v>
      </c>
      <c r="J40" s="28"/>
      <c r="K40" s="28"/>
      <c r="L40" s="28"/>
      <c r="M40" s="28"/>
      <c r="N40" s="28"/>
      <c r="O40" s="28">
        <f t="shared" ca="1" si="4"/>
        <v>6.4148142999350863E-4</v>
      </c>
      <c r="P40" s="28"/>
      <c r="Q40" s="30">
        <f t="shared" si="5"/>
        <v>14212.246999999999</v>
      </c>
    </row>
    <row r="41" spans="1:21" x14ac:dyDescent="0.2">
      <c r="A41" t="s">
        <v>80</v>
      </c>
      <c r="B41" t="s">
        <v>49</v>
      </c>
      <c r="C41" s="9">
        <v>29571.773000000001</v>
      </c>
      <c r="D41" s="9" t="s">
        <v>73</v>
      </c>
      <c r="E41" s="28">
        <f t="shared" si="0"/>
        <v>388.00601467183634</v>
      </c>
      <c r="F41" s="28">
        <f t="shared" si="1"/>
        <v>388</v>
      </c>
      <c r="G41" s="28">
        <f t="shared" si="2"/>
        <v>1.6024000000470551E-2</v>
      </c>
      <c r="H41" s="28"/>
      <c r="I41" s="28">
        <f>+G41</f>
        <v>1.6024000000470551E-2</v>
      </c>
      <c r="J41" s="28"/>
      <c r="K41" s="28"/>
      <c r="L41" s="28"/>
      <c r="M41" s="28"/>
      <c r="N41" s="28"/>
      <c r="O41" s="28">
        <f t="shared" ca="1" si="4"/>
        <v>5.5366861537984289E-4</v>
      </c>
      <c r="P41" s="28"/>
      <c r="Q41" s="30">
        <f t="shared" si="5"/>
        <v>14553.273000000001</v>
      </c>
    </row>
    <row r="42" spans="1:21" x14ac:dyDescent="0.2">
      <c r="A42" t="s">
        <v>80</v>
      </c>
      <c r="B42" t="s">
        <v>49</v>
      </c>
      <c r="C42" s="9">
        <v>29571.815999999999</v>
      </c>
      <c r="D42" s="9" t="s">
        <v>73</v>
      </c>
      <c r="E42" s="28">
        <f t="shared" si="0"/>
        <v>388.02215489206321</v>
      </c>
      <c r="F42" s="28">
        <f t="shared" si="1"/>
        <v>388</v>
      </c>
      <c r="G42" s="28">
        <f t="shared" si="2"/>
        <v>5.9023999998316867E-2</v>
      </c>
      <c r="H42" s="28"/>
      <c r="I42" s="28">
        <f>+G42</f>
        <v>5.9023999998316867E-2</v>
      </c>
      <c r="J42" s="28"/>
      <c r="K42" s="28"/>
      <c r="L42" s="28"/>
      <c r="M42" s="28"/>
      <c r="N42" s="28"/>
      <c r="O42" s="28">
        <f t="shared" ca="1" si="4"/>
        <v>5.5366861537984289E-4</v>
      </c>
      <c r="P42" s="28"/>
      <c r="Q42" s="30">
        <f t="shared" si="5"/>
        <v>14553.315999999999</v>
      </c>
    </row>
    <row r="43" spans="1:21" x14ac:dyDescent="0.2">
      <c r="A43" t="s">
        <v>147</v>
      </c>
      <c r="B43" t="s">
        <v>49</v>
      </c>
      <c r="C43" s="9">
        <v>29763.91</v>
      </c>
      <c r="D43" s="9" t="s">
        <v>73</v>
      </c>
      <c r="E43" s="28">
        <f t="shared" si="0"/>
        <v>460.12539825055063</v>
      </c>
      <c r="F43" s="28">
        <f t="shared" si="1"/>
        <v>460</v>
      </c>
      <c r="H43" s="28"/>
      <c r="I43" s="28"/>
      <c r="J43" s="28"/>
      <c r="K43" s="28"/>
      <c r="L43" s="28"/>
      <c r="M43" s="28"/>
      <c r="N43" s="28"/>
      <c r="O43" s="28">
        <f t="shared" ca="1" si="4"/>
        <v>5.0427390715965595E-4</v>
      </c>
      <c r="P43" s="28"/>
      <c r="Q43" s="30">
        <f t="shared" si="5"/>
        <v>14745.41</v>
      </c>
      <c r="U43" s="28">
        <f>+C43-(C$7+F43*C$8)</f>
        <v>0.33408000000054017</v>
      </c>
    </row>
    <row r="44" spans="1:21" x14ac:dyDescent="0.2">
      <c r="A44" t="s">
        <v>80</v>
      </c>
      <c r="B44" t="s">
        <v>49</v>
      </c>
      <c r="C44" s="9">
        <v>29896.814999999999</v>
      </c>
      <c r="D44" s="9" t="s">
        <v>73</v>
      </c>
      <c r="E44" s="28">
        <f t="shared" si="0"/>
        <v>510.01181614262242</v>
      </c>
      <c r="F44" s="28">
        <f t="shared" si="1"/>
        <v>510</v>
      </c>
      <c r="G44" s="28">
        <f t="shared" ref="G44:G67" si="7">+C44-(C$7+F44*C$8)</f>
        <v>3.1480000001465669E-2</v>
      </c>
      <c r="H44" s="28"/>
      <c r="I44" s="28">
        <f t="shared" ref="I44:I49" si="8">+G44</f>
        <v>3.1480000001465669E-2</v>
      </c>
      <c r="J44" s="28"/>
      <c r="K44" s="28"/>
      <c r="L44" s="28"/>
      <c r="M44" s="28"/>
      <c r="N44" s="28"/>
      <c r="O44" s="28">
        <f t="shared" ca="1" si="4"/>
        <v>4.6997202645119272E-4</v>
      </c>
      <c r="P44" s="28"/>
      <c r="Q44" s="30">
        <f t="shared" si="5"/>
        <v>14878.314999999999</v>
      </c>
    </row>
    <row r="45" spans="1:21" x14ac:dyDescent="0.2">
      <c r="A45" t="s">
        <v>80</v>
      </c>
      <c r="B45" t="s">
        <v>49</v>
      </c>
      <c r="C45" s="9">
        <v>29912.778999999999</v>
      </c>
      <c r="D45" s="9" t="s">
        <v>73</v>
      </c>
      <c r="E45" s="28">
        <f t="shared" si="0"/>
        <v>516.00396674063632</v>
      </c>
      <c r="F45" s="28">
        <f t="shared" si="1"/>
        <v>516</v>
      </c>
      <c r="G45" s="28">
        <f t="shared" si="7"/>
        <v>1.0568000001512701E-2</v>
      </c>
      <c r="H45" s="28"/>
      <c r="I45" s="28">
        <f t="shared" si="8"/>
        <v>1.0568000001512701E-2</v>
      </c>
      <c r="J45" s="28"/>
      <c r="K45" s="28"/>
      <c r="L45" s="28"/>
      <c r="M45" s="28"/>
      <c r="N45" s="28"/>
      <c r="O45" s="28">
        <f t="shared" ca="1" si="4"/>
        <v>4.6585580076617715E-4</v>
      </c>
      <c r="P45" s="28"/>
      <c r="Q45" s="30">
        <f t="shared" si="5"/>
        <v>14894.278999999999</v>
      </c>
    </row>
    <row r="46" spans="1:21" x14ac:dyDescent="0.2">
      <c r="A46" t="s">
        <v>80</v>
      </c>
      <c r="B46" t="s">
        <v>49</v>
      </c>
      <c r="C46" s="9">
        <v>29952.778999999999</v>
      </c>
      <c r="D46" s="9" t="s">
        <v>73</v>
      </c>
      <c r="E46" s="28">
        <f t="shared" si="0"/>
        <v>531.01812509196156</v>
      </c>
      <c r="F46" s="28">
        <f t="shared" si="1"/>
        <v>531</v>
      </c>
      <c r="G46" s="28">
        <f t="shared" si="7"/>
        <v>4.8287999998137821E-2</v>
      </c>
      <c r="H46" s="28"/>
      <c r="I46" s="28">
        <f t="shared" si="8"/>
        <v>4.8287999998137821E-2</v>
      </c>
      <c r="J46" s="28"/>
      <c r="K46" s="28"/>
      <c r="L46" s="28"/>
      <c r="M46" s="28"/>
      <c r="N46" s="28"/>
      <c r="O46" s="28">
        <f t="shared" ca="1" si="4"/>
        <v>4.5556523655363823E-4</v>
      </c>
      <c r="P46" s="28"/>
      <c r="Q46" s="30">
        <f t="shared" si="5"/>
        <v>14934.278999999999</v>
      </c>
    </row>
    <row r="47" spans="1:21" x14ac:dyDescent="0.2">
      <c r="A47" t="s">
        <v>80</v>
      </c>
      <c r="B47" t="s">
        <v>49</v>
      </c>
      <c r="C47" s="9">
        <v>30293.749</v>
      </c>
      <c r="D47" s="9" t="s">
        <v>73</v>
      </c>
      <c r="E47" s="28">
        <f t="shared" si="0"/>
        <v>659.00256441824672</v>
      </c>
      <c r="F47" s="28">
        <f t="shared" si="1"/>
        <v>659</v>
      </c>
      <c r="G47" s="28">
        <f t="shared" si="7"/>
        <v>6.8320000027597416E-3</v>
      </c>
      <c r="H47" s="28"/>
      <c r="I47" s="28">
        <f t="shared" si="8"/>
        <v>6.8320000027597416E-3</v>
      </c>
      <c r="J47" s="28"/>
      <c r="K47" s="28"/>
      <c r="L47" s="28"/>
      <c r="M47" s="28"/>
      <c r="N47" s="28"/>
      <c r="O47" s="28">
        <f t="shared" ca="1" si="4"/>
        <v>3.6775242193997243E-4</v>
      </c>
      <c r="P47" s="28"/>
      <c r="Q47" s="30">
        <f t="shared" si="5"/>
        <v>15275.249</v>
      </c>
    </row>
    <row r="48" spans="1:21" x14ac:dyDescent="0.2">
      <c r="A48" t="s">
        <v>80</v>
      </c>
      <c r="B48" t="s">
        <v>49</v>
      </c>
      <c r="C48" s="9">
        <v>30325.673999999999</v>
      </c>
      <c r="D48" s="9" t="s">
        <v>73</v>
      </c>
      <c r="E48" s="28">
        <f t="shared" si="0"/>
        <v>670.98573955239794</v>
      </c>
      <c r="F48" s="28">
        <f t="shared" si="1"/>
        <v>671</v>
      </c>
      <c r="G48" s="28">
        <f t="shared" si="7"/>
        <v>-3.7992000001395354E-2</v>
      </c>
      <c r="H48" s="28"/>
      <c r="I48" s="28">
        <f t="shared" si="8"/>
        <v>-3.7992000001395354E-2</v>
      </c>
      <c r="J48" s="28"/>
      <c r="K48" s="28"/>
      <c r="L48" s="28"/>
      <c r="M48" s="28"/>
      <c r="N48" s="28"/>
      <c r="O48" s="28">
        <f t="shared" ca="1" si="4"/>
        <v>3.595199705699413E-4</v>
      </c>
      <c r="P48" s="28"/>
      <c r="Q48" s="30">
        <f t="shared" si="5"/>
        <v>15307.173999999999</v>
      </c>
    </row>
    <row r="49" spans="1:32" x14ac:dyDescent="0.2">
      <c r="A49" t="s">
        <v>80</v>
      </c>
      <c r="B49" t="s">
        <v>49</v>
      </c>
      <c r="C49" s="9">
        <v>31055.696</v>
      </c>
      <c r="D49" s="9" t="s">
        <v>73</v>
      </c>
      <c r="E49" s="28">
        <f t="shared" si="0"/>
        <v>945.00238725117822</v>
      </c>
      <c r="F49" s="28">
        <f t="shared" si="1"/>
        <v>945</v>
      </c>
      <c r="G49" s="28">
        <f t="shared" si="7"/>
        <v>6.3599999994039536E-3</v>
      </c>
      <c r="H49" s="28"/>
      <c r="I49" s="28">
        <f t="shared" si="8"/>
        <v>6.3599999994039536E-3</v>
      </c>
      <c r="J49" s="28"/>
      <c r="K49" s="28"/>
      <c r="L49" s="28"/>
      <c r="M49" s="28"/>
      <c r="N49" s="28"/>
      <c r="O49" s="28">
        <f t="shared" ca="1" si="4"/>
        <v>1.7154566428756305E-4</v>
      </c>
      <c r="P49" s="28"/>
      <c r="Q49" s="30">
        <f t="shared" si="5"/>
        <v>16037.196</v>
      </c>
    </row>
    <row r="50" spans="1:32" x14ac:dyDescent="0.2">
      <c r="A50" t="s">
        <v>168</v>
      </c>
      <c r="B50" t="s">
        <v>49</v>
      </c>
      <c r="C50" s="9">
        <v>32230.591</v>
      </c>
      <c r="D50" s="9" t="s">
        <v>73</v>
      </c>
      <c r="E50" s="28">
        <f t="shared" si="0"/>
        <v>1386.0038766556868</v>
      </c>
      <c r="F50" s="28">
        <f t="shared" si="1"/>
        <v>1386</v>
      </c>
      <c r="G50" s="28">
        <f t="shared" si="7"/>
        <v>1.0328000000299653E-2</v>
      </c>
      <c r="H50" s="28">
        <f>+G50</f>
        <v>1.0328000000299653E-2</v>
      </c>
      <c r="J50" s="28"/>
      <c r="K50" s="28"/>
      <c r="L50" s="28"/>
      <c r="M50" s="28"/>
      <c r="N50" s="28"/>
      <c r="O50" s="28">
        <f t="shared" ca="1" si="4"/>
        <v>-1.309969235610823E-4</v>
      </c>
      <c r="P50" s="28"/>
      <c r="Q50" s="30">
        <f t="shared" si="5"/>
        <v>17212.091</v>
      </c>
    </row>
    <row r="51" spans="1:32" x14ac:dyDescent="0.2">
      <c r="A51" t="s">
        <v>173</v>
      </c>
      <c r="B51" t="s">
        <v>49</v>
      </c>
      <c r="C51" s="9">
        <v>33298.834000000003</v>
      </c>
      <c r="D51" s="9" t="s">
        <v>73</v>
      </c>
      <c r="E51" s="28">
        <f t="shared" si="0"/>
        <v>1786.9731156480575</v>
      </c>
      <c r="F51" s="28">
        <f t="shared" si="1"/>
        <v>1787</v>
      </c>
      <c r="G51" s="28">
        <f t="shared" si="7"/>
        <v>-7.1623999996518251E-2</v>
      </c>
      <c r="H51" s="28"/>
      <c r="I51" s="28">
        <f>+G51</f>
        <v>-7.1623999996518251E-2</v>
      </c>
      <c r="J51" s="28"/>
      <c r="K51" s="28"/>
      <c r="L51" s="28"/>
      <c r="M51" s="28"/>
      <c r="N51" s="28"/>
      <c r="O51" s="28">
        <f t="shared" ca="1" si="4"/>
        <v>-4.0609800684295689E-4</v>
      </c>
      <c r="P51" s="28"/>
      <c r="Q51" s="30">
        <f t="shared" si="5"/>
        <v>18280.334000000003</v>
      </c>
    </row>
    <row r="52" spans="1:32" x14ac:dyDescent="0.2">
      <c r="A52" t="s">
        <v>178</v>
      </c>
      <c r="B52" t="s">
        <v>49</v>
      </c>
      <c r="C52" s="9">
        <v>33597.292999999998</v>
      </c>
      <c r="D52" s="9" t="s">
        <v>73</v>
      </c>
      <c r="E52" s="28">
        <f t="shared" si="0"/>
        <v>1899.0008828325106</v>
      </c>
      <c r="F52" s="28">
        <f t="shared" si="1"/>
        <v>1899</v>
      </c>
      <c r="G52" s="28">
        <f t="shared" si="7"/>
        <v>2.3519999958807603E-3</v>
      </c>
      <c r="H52" s="28"/>
      <c r="I52" s="28">
        <f>+G52</f>
        <v>2.3519999958807603E-3</v>
      </c>
      <c r="J52" s="28"/>
      <c r="K52" s="28"/>
      <c r="L52" s="28"/>
      <c r="M52" s="28"/>
      <c r="N52" s="28"/>
      <c r="O52" s="28">
        <f t="shared" ca="1" si="4"/>
        <v>-4.8293421962991448E-4</v>
      </c>
      <c r="P52" s="28"/>
      <c r="Q52" s="30">
        <f t="shared" si="5"/>
        <v>18578.792999999998</v>
      </c>
    </row>
    <row r="53" spans="1:32" x14ac:dyDescent="0.2">
      <c r="A53" t="s">
        <v>182</v>
      </c>
      <c r="B53" t="s">
        <v>49</v>
      </c>
      <c r="C53" s="9">
        <v>33647.809000000001</v>
      </c>
      <c r="D53" s="9" t="s">
        <v>73</v>
      </c>
      <c r="E53" s="28">
        <f t="shared" ref="E53:E71" si="9">+(C53-C$7)/C$8</f>
        <v>1917.9622634144005</v>
      </c>
      <c r="F53" s="28">
        <f t="shared" ref="F53:F71" si="10">ROUND(2*E53,0)/2</f>
        <v>1918</v>
      </c>
      <c r="G53" s="28">
        <f t="shared" si="7"/>
        <v>-0.10053599999810103</v>
      </c>
      <c r="H53" s="28"/>
      <c r="I53" s="28">
        <f>+G53</f>
        <v>-0.10053599999810103</v>
      </c>
      <c r="J53" s="28"/>
      <c r="K53" s="28"/>
      <c r="L53" s="28"/>
      <c r="M53" s="28"/>
      <c r="N53" s="28"/>
      <c r="O53" s="28">
        <f t="shared" ref="O53:O71" ca="1" si="11">+C$11+C$12*$F53</f>
        <v>-4.9596893429913053E-4</v>
      </c>
      <c r="P53" s="28"/>
      <c r="Q53" s="30">
        <f t="shared" ref="Q53:Q71" si="12">+C53-15018.5</f>
        <v>18629.309000000001</v>
      </c>
    </row>
    <row r="54" spans="1:32" x14ac:dyDescent="0.2">
      <c r="A54" t="s">
        <v>188</v>
      </c>
      <c r="B54" t="s">
        <v>49</v>
      </c>
      <c r="C54" s="9">
        <v>35432.894</v>
      </c>
      <c r="D54" s="9" t="s">
        <v>73</v>
      </c>
      <c r="E54" s="28">
        <f t="shared" si="9"/>
        <v>2588.0009849287881</v>
      </c>
      <c r="F54" s="28">
        <f t="shared" si="10"/>
        <v>2588</v>
      </c>
      <c r="G54" s="28">
        <f t="shared" si="7"/>
        <v>2.6240000006509945E-3</v>
      </c>
      <c r="H54" s="28">
        <f>+G54</f>
        <v>2.6240000006509945E-3</v>
      </c>
      <c r="J54" s="28"/>
      <c r="K54" s="28"/>
      <c r="L54" s="28"/>
      <c r="M54" s="28"/>
      <c r="N54" s="28"/>
      <c r="O54" s="28">
        <f t="shared" ca="1" si="11"/>
        <v>-9.5561413579253718E-4</v>
      </c>
      <c r="P54" s="28"/>
      <c r="Q54" s="30">
        <f t="shared" si="12"/>
        <v>20414.394</v>
      </c>
    </row>
    <row r="55" spans="1:32" x14ac:dyDescent="0.2">
      <c r="A55" t="s">
        <v>188</v>
      </c>
      <c r="B55" t="s">
        <v>49</v>
      </c>
      <c r="C55" s="9">
        <v>35456.868000000002</v>
      </c>
      <c r="D55" s="9" t="s">
        <v>73</v>
      </c>
      <c r="E55" s="28">
        <f t="shared" si="9"/>
        <v>2596.9997207366559</v>
      </c>
      <c r="F55" s="28">
        <f t="shared" si="10"/>
        <v>2597</v>
      </c>
      <c r="G55" s="28">
        <f t="shared" si="7"/>
        <v>-7.4399999721208587E-4</v>
      </c>
      <c r="H55" s="28">
        <f>+G55</f>
        <v>-7.4399999721208587E-4</v>
      </c>
      <c r="J55" s="28"/>
      <c r="K55" s="28"/>
      <c r="L55" s="28"/>
      <c r="M55" s="28"/>
      <c r="N55" s="28"/>
      <c r="O55" s="28">
        <f t="shared" ca="1" si="11"/>
        <v>-9.6178847432006054E-4</v>
      </c>
      <c r="P55" s="28"/>
      <c r="Q55" s="30">
        <f t="shared" si="12"/>
        <v>20438.368000000002</v>
      </c>
    </row>
    <row r="56" spans="1:32" x14ac:dyDescent="0.2">
      <c r="A56" t="s">
        <v>178</v>
      </c>
      <c r="B56" t="s">
        <v>49</v>
      </c>
      <c r="C56" s="9">
        <v>35478.186999999998</v>
      </c>
      <c r="D56" s="9" t="s">
        <v>73</v>
      </c>
      <c r="E56" s="28">
        <f t="shared" si="9"/>
        <v>2605.001891783952</v>
      </c>
      <c r="F56" s="28">
        <f t="shared" si="10"/>
        <v>2605</v>
      </c>
      <c r="G56" s="28">
        <f t="shared" si="7"/>
        <v>5.0399999963701703E-3</v>
      </c>
      <c r="H56" s="28"/>
      <c r="I56" s="28">
        <f>+G56</f>
        <v>5.0399999963701703E-3</v>
      </c>
      <c r="J56" s="28"/>
      <c r="K56" s="28"/>
      <c r="L56" s="28"/>
      <c r="M56" s="28"/>
      <c r="N56" s="28"/>
      <c r="O56" s="28">
        <f t="shared" ca="1" si="11"/>
        <v>-9.6727677523341478E-4</v>
      </c>
      <c r="P56" s="28"/>
      <c r="Q56" s="30">
        <f t="shared" si="12"/>
        <v>20459.686999999998</v>
      </c>
    </row>
    <row r="57" spans="1:32" x14ac:dyDescent="0.2">
      <c r="A57" t="s">
        <v>178</v>
      </c>
      <c r="B57" t="s">
        <v>49</v>
      </c>
      <c r="C57" s="9">
        <v>35510.167000000001</v>
      </c>
      <c r="D57" s="9" t="s">
        <v>73</v>
      </c>
      <c r="E57" s="28">
        <f t="shared" si="9"/>
        <v>2617.0057113858375</v>
      </c>
      <c r="F57" s="28">
        <f t="shared" si="10"/>
        <v>2617</v>
      </c>
      <c r="G57" s="28">
        <f t="shared" si="7"/>
        <v>1.5215999999782071E-2</v>
      </c>
      <c r="H57" s="28"/>
      <c r="I57" s="28">
        <f>+G57</f>
        <v>1.5215999999782071E-2</v>
      </c>
      <c r="J57" s="28"/>
      <c r="K57" s="28"/>
      <c r="L57" s="28"/>
      <c r="M57" s="28"/>
      <c r="N57" s="28"/>
      <c r="O57" s="28">
        <f t="shared" ca="1" si="11"/>
        <v>-9.7550922660344591E-4</v>
      </c>
      <c r="P57" s="28"/>
      <c r="Q57" s="30">
        <f t="shared" si="12"/>
        <v>20491.667000000001</v>
      </c>
    </row>
    <row r="58" spans="1:32" x14ac:dyDescent="0.2">
      <c r="A58" t="s">
        <v>178</v>
      </c>
      <c r="B58" t="s">
        <v>49</v>
      </c>
      <c r="C58" s="9">
        <v>35542.137999999999</v>
      </c>
      <c r="D58" s="9" t="s">
        <v>73</v>
      </c>
      <c r="E58" s="28">
        <f t="shared" si="9"/>
        <v>2629.0061528020924</v>
      </c>
      <c r="F58" s="28">
        <f t="shared" si="10"/>
        <v>2629</v>
      </c>
      <c r="G58" s="28">
        <f t="shared" si="7"/>
        <v>1.6391999997722451E-2</v>
      </c>
      <c r="H58" s="28"/>
      <c r="I58" s="28">
        <f>+G58</f>
        <v>1.6391999997722451E-2</v>
      </c>
      <c r="J58" s="28"/>
      <c r="K58" s="28"/>
      <c r="L58" s="28"/>
      <c r="M58" s="28"/>
      <c r="N58" s="28"/>
      <c r="O58" s="28">
        <f t="shared" ca="1" si="11"/>
        <v>-9.8374167797347705E-4</v>
      </c>
      <c r="P58" s="28"/>
      <c r="Q58" s="30">
        <f t="shared" si="12"/>
        <v>20523.637999999999</v>
      </c>
    </row>
    <row r="59" spans="1:32" x14ac:dyDescent="0.2">
      <c r="A59" t="s">
        <v>188</v>
      </c>
      <c r="B59" t="s">
        <v>49</v>
      </c>
      <c r="C59" s="9">
        <v>35765.910199999998</v>
      </c>
      <c r="D59" s="9" t="s">
        <v>73</v>
      </c>
      <c r="E59" s="28">
        <f t="shared" si="9"/>
        <v>2712.9999339377032</v>
      </c>
      <c r="F59" s="28">
        <f t="shared" si="10"/>
        <v>2713</v>
      </c>
      <c r="G59" s="28">
        <f t="shared" si="7"/>
        <v>-1.7600000137463212E-4</v>
      </c>
      <c r="H59" s="28">
        <f>+G59</f>
        <v>-1.7600000137463212E-4</v>
      </c>
      <c r="J59" s="28"/>
      <c r="K59" s="28"/>
      <c r="L59" s="28"/>
      <c r="M59" s="28"/>
      <c r="N59" s="28"/>
      <c r="O59" s="28">
        <f t="shared" ca="1" si="11"/>
        <v>-1.0413688375636952E-3</v>
      </c>
      <c r="P59" s="28"/>
      <c r="Q59" s="30">
        <f t="shared" si="12"/>
        <v>20747.410199999998</v>
      </c>
    </row>
    <row r="60" spans="1:32" x14ac:dyDescent="0.2">
      <c r="A60" t="s">
        <v>178</v>
      </c>
      <c r="B60" t="s">
        <v>49</v>
      </c>
      <c r="C60" s="9">
        <v>35811.18</v>
      </c>
      <c r="D60" s="9" t="s">
        <v>73</v>
      </c>
      <c r="E60" s="28">
        <f t="shared" si="9"/>
        <v>2729.9921325810242</v>
      </c>
      <c r="F60" s="28">
        <f t="shared" si="10"/>
        <v>2730</v>
      </c>
      <c r="G60" s="28">
        <f t="shared" si="7"/>
        <v>-2.0960000001650769E-2</v>
      </c>
      <c r="H60" s="28"/>
      <c r="I60" s="28">
        <f t="shared" ref="I60:I67" si="13">+G60</f>
        <v>-2.0960000001650769E-2</v>
      </c>
      <c r="J60" s="28"/>
      <c r="K60" s="28"/>
      <c r="L60" s="28"/>
      <c r="M60" s="28"/>
      <c r="N60" s="28"/>
      <c r="O60" s="28">
        <f t="shared" ca="1" si="11"/>
        <v>-1.0530314770045726E-3</v>
      </c>
      <c r="P60" s="28"/>
      <c r="Q60" s="30">
        <f t="shared" si="12"/>
        <v>20792.68</v>
      </c>
    </row>
    <row r="61" spans="1:32" s="28" customFormat="1" x14ac:dyDescent="0.2">
      <c r="A61" s="31" t="s">
        <v>48</v>
      </c>
      <c r="B61" s="32" t="s">
        <v>49</v>
      </c>
      <c r="C61" s="31">
        <v>40566.71</v>
      </c>
      <c r="D61" s="29"/>
      <c r="E61" s="28">
        <f t="shared" si="9"/>
        <v>4514.9991441929742</v>
      </c>
      <c r="F61" s="28">
        <f t="shared" si="10"/>
        <v>4515</v>
      </c>
      <c r="G61" s="28">
        <f t="shared" si="7"/>
        <v>-2.2800000006100163E-3</v>
      </c>
      <c r="I61" s="28">
        <f t="shared" si="13"/>
        <v>-2.2800000006100163E-3</v>
      </c>
      <c r="O61" s="28">
        <f t="shared" ca="1" si="11"/>
        <v>-2.2776086182967085E-3</v>
      </c>
      <c r="Q61" s="30">
        <f t="shared" si="12"/>
        <v>25548.21</v>
      </c>
    </row>
    <row r="62" spans="1:32" s="28" customFormat="1" x14ac:dyDescent="0.2">
      <c r="A62" s="28" t="s">
        <v>30</v>
      </c>
      <c r="C62" s="29">
        <v>41616.406000000003</v>
      </c>
      <c r="D62" s="29"/>
      <c r="E62" s="28">
        <f t="shared" si="9"/>
        <v>4909.0066933117942</v>
      </c>
      <c r="F62" s="28">
        <f t="shared" si="10"/>
        <v>4909</v>
      </c>
      <c r="G62" s="28">
        <f t="shared" si="7"/>
        <v>1.7832000005000737E-2</v>
      </c>
      <c r="I62" s="28">
        <f t="shared" si="13"/>
        <v>1.7832000005000737E-2</v>
      </c>
      <c r="O62" s="28">
        <f t="shared" ca="1" si="11"/>
        <v>-2.5479074382793983E-3</v>
      </c>
      <c r="Q62" s="30">
        <f t="shared" si="12"/>
        <v>26597.906000000003</v>
      </c>
      <c r="AA62" s="28" t="s">
        <v>29</v>
      </c>
      <c r="AF62" s="28" t="s">
        <v>31</v>
      </c>
    </row>
    <row r="63" spans="1:32" s="28" customFormat="1" x14ac:dyDescent="0.2">
      <c r="A63" s="28" t="s">
        <v>33</v>
      </c>
      <c r="C63" s="29">
        <v>41616.409</v>
      </c>
      <c r="D63" s="29"/>
      <c r="E63" s="28">
        <f t="shared" si="9"/>
        <v>4909.0078193736699</v>
      </c>
      <c r="F63" s="28">
        <f t="shared" si="10"/>
        <v>4909</v>
      </c>
      <c r="G63" s="28">
        <f t="shared" si="7"/>
        <v>2.0832000001973938E-2</v>
      </c>
      <c r="I63" s="28">
        <f t="shared" si="13"/>
        <v>2.0832000001973938E-2</v>
      </c>
      <c r="O63" s="28">
        <f t="shared" ca="1" si="11"/>
        <v>-2.5479074382793983E-3</v>
      </c>
      <c r="Q63" s="30">
        <f t="shared" si="12"/>
        <v>26597.909</v>
      </c>
      <c r="AB63" s="28">
        <v>12</v>
      </c>
      <c r="AD63" s="28" t="s">
        <v>32</v>
      </c>
      <c r="AF63" s="28" t="s">
        <v>34</v>
      </c>
    </row>
    <row r="64" spans="1:32" s="28" customFormat="1" x14ac:dyDescent="0.2">
      <c r="A64" s="28" t="s">
        <v>35</v>
      </c>
      <c r="C64" s="29">
        <v>41688.313000000002</v>
      </c>
      <c r="D64" s="29"/>
      <c r="E64" s="28">
        <f t="shared" si="9"/>
        <v>4935.9972704260126</v>
      </c>
      <c r="F64" s="28">
        <f t="shared" si="10"/>
        <v>4936</v>
      </c>
      <c r="G64" s="28">
        <f t="shared" si="7"/>
        <v>-7.2719999952823855E-3</v>
      </c>
      <c r="I64" s="28">
        <f t="shared" si="13"/>
        <v>-7.2719999952823855E-3</v>
      </c>
      <c r="O64" s="28">
        <f t="shared" ca="1" si="11"/>
        <v>-2.5664304538619686E-3</v>
      </c>
      <c r="Q64" s="30">
        <f t="shared" si="12"/>
        <v>26669.813000000002</v>
      </c>
      <c r="AA64" s="28" t="s">
        <v>29</v>
      </c>
      <c r="AB64" s="28">
        <v>17</v>
      </c>
      <c r="AD64" s="28" t="s">
        <v>32</v>
      </c>
      <c r="AF64" s="28" t="s">
        <v>34</v>
      </c>
    </row>
    <row r="65" spans="1:32" s="28" customFormat="1" x14ac:dyDescent="0.2">
      <c r="A65" s="28" t="s">
        <v>36</v>
      </c>
      <c r="C65" s="29">
        <v>41728.307999999997</v>
      </c>
      <c r="D65" s="29"/>
      <c r="E65" s="28">
        <f t="shared" si="9"/>
        <v>4951.009552007542</v>
      </c>
      <c r="F65" s="28">
        <f t="shared" si="10"/>
        <v>4951</v>
      </c>
      <c r="G65" s="28">
        <f t="shared" si="7"/>
        <v>2.54480000003241E-2</v>
      </c>
      <c r="I65" s="28">
        <f t="shared" si="13"/>
        <v>2.54480000003241E-2</v>
      </c>
      <c r="O65" s="28">
        <f t="shared" ca="1" si="11"/>
        <v>-2.5767210180745077E-3</v>
      </c>
      <c r="Q65" s="30">
        <f t="shared" si="12"/>
        <v>26709.807999999997</v>
      </c>
      <c r="AA65" s="28" t="s">
        <v>29</v>
      </c>
      <c r="AB65" s="28">
        <v>6</v>
      </c>
      <c r="AD65" s="28" t="s">
        <v>32</v>
      </c>
      <c r="AF65" s="28" t="s">
        <v>34</v>
      </c>
    </row>
    <row r="66" spans="1:32" s="28" customFormat="1" x14ac:dyDescent="0.2">
      <c r="A66" s="28" t="s">
        <v>38</v>
      </c>
      <c r="C66" s="29">
        <v>42426.284</v>
      </c>
      <c r="D66" s="29"/>
      <c r="E66" s="28">
        <f t="shared" si="9"/>
        <v>5212.9976067431589</v>
      </c>
      <c r="F66" s="28">
        <f t="shared" si="10"/>
        <v>5213</v>
      </c>
      <c r="G66" s="28">
        <f t="shared" si="7"/>
        <v>-6.375999997544568E-3</v>
      </c>
      <c r="I66" s="28">
        <f t="shared" si="13"/>
        <v>-6.375999997544568E-3</v>
      </c>
      <c r="O66" s="28">
        <f t="shared" ca="1" si="11"/>
        <v>-2.7564628729868541E-3</v>
      </c>
      <c r="Q66" s="30">
        <f t="shared" si="12"/>
        <v>27407.784</v>
      </c>
      <c r="AA66" s="28" t="s">
        <v>29</v>
      </c>
      <c r="AB66" s="28">
        <v>7</v>
      </c>
      <c r="AD66" s="28" t="s">
        <v>37</v>
      </c>
      <c r="AF66" s="28" t="s">
        <v>34</v>
      </c>
    </row>
    <row r="67" spans="1:32" s="28" customFormat="1" x14ac:dyDescent="0.2">
      <c r="A67" s="28" t="s">
        <v>40</v>
      </c>
      <c r="C67" s="29">
        <v>46707.542999999998</v>
      </c>
      <c r="D67" s="29"/>
      <c r="E67" s="28">
        <f t="shared" si="9"/>
        <v>6819.9851209690733</v>
      </c>
      <c r="F67" s="28">
        <f t="shared" si="10"/>
        <v>6820</v>
      </c>
      <c r="G67" s="28">
        <f t="shared" si="7"/>
        <v>-3.9640000002691522E-2</v>
      </c>
      <c r="I67" s="28">
        <f t="shared" si="13"/>
        <v>-3.9640000002691522E-2</v>
      </c>
      <c r="O67" s="28">
        <f t="shared" ca="1" si="11"/>
        <v>-3.858925318956861E-3</v>
      </c>
      <c r="Q67" s="30">
        <f t="shared" si="12"/>
        <v>31689.042999999998</v>
      </c>
      <c r="AA67" s="28" t="s">
        <v>29</v>
      </c>
      <c r="AB67" s="28">
        <v>9</v>
      </c>
      <c r="AD67" s="28" t="s">
        <v>39</v>
      </c>
      <c r="AF67" s="28" t="s">
        <v>34</v>
      </c>
    </row>
    <row r="68" spans="1:32" s="28" customFormat="1" x14ac:dyDescent="0.2">
      <c r="A68" s="28" t="s">
        <v>41</v>
      </c>
      <c r="C68" s="29">
        <v>47477.466</v>
      </c>
      <c r="D68" s="29"/>
      <c r="E68" s="28">
        <f t="shared" si="9"/>
        <v>7108.9787669772595</v>
      </c>
      <c r="F68" s="28">
        <f t="shared" si="10"/>
        <v>7109</v>
      </c>
      <c r="I68" s="28">
        <v>-5.6567999999970198E-2</v>
      </c>
      <c r="O68" s="28">
        <f t="shared" ca="1" si="11"/>
        <v>-4.0571901894517785E-3</v>
      </c>
      <c r="Q68" s="30">
        <f t="shared" si="12"/>
        <v>32458.966</v>
      </c>
      <c r="AA68" s="28" t="s">
        <v>29</v>
      </c>
      <c r="AB68" s="28">
        <v>10</v>
      </c>
      <c r="AD68" s="28" t="s">
        <v>39</v>
      </c>
      <c r="AF68" s="28" t="s">
        <v>34</v>
      </c>
    </row>
    <row r="69" spans="1:32" s="28" customFormat="1" x14ac:dyDescent="0.2">
      <c r="A69" s="28" t="s">
        <v>44</v>
      </c>
      <c r="C69" s="29">
        <v>49374.394099999998</v>
      </c>
      <c r="D69" s="29"/>
      <c r="E69" s="28">
        <f t="shared" si="9"/>
        <v>7820.9982388392245</v>
      </c>
      <c r="F69" s="28">
        <f t="shared" si="10"/>
        <v>7821</v>
      </c>
      <c r="G69" s="28">
        <f t="shared" ref="G69:G91" si="14">+C69-(C$7+F69*C$8)</f>
        <v>-4.6920000022510067E-3</v>
      </c>
      <c r="J69" s="28">
        <f>+G69</f>
        <v>-4.6920000022510067E-3</v>
      </c>
      <c r="O69" s="28">
        <f t="shared" ca="1" si="11"/>
        <v>-4.5456489707402939E-3</v>
      </c>
      <c r="Q69" s="30">
        <f t="shared" si="12"/>
        <v>34355.894099999998</v>
      </c>
      <c r="AA69" s="28" t="s">
        <v>42</v>
      </c>
      <c r="AB69" s="28">
        <v>56</v>
      </c>
      <c r="AD69" s="28" t="s">
        <v>43</v>
      </c>
      <c r="AF69" s="28" t="s">
        <v>34</v>
      </c>
    </row>
    <row r="70" spans="1:32" s="28" customFormat="1" x14ac:dyDescent="0.2">
      <c r="A70" s="28" t="s">
        <v>46</v>
      </c>
      <c r="C70" s="29">
        <v>50096.375999999997</v>
      </c>
      <c r="D70" s="29">
        <v>6.0000000000000001E-3</v>
      </c>
      <c r="E70" s="28">
        <f t="shared" si="9"/>
        <v>8091.9970031739922</v>
      </c>
      <c r="F70" s="28">
        <f t="shared" si="10"/>
        <v>8092</v>
      </c>
      <c r="G70" s="28">
        <f t="shared" si="14"/>
        <v>-7.9840000034892E-3</v>
      </c>
      <c r="I70" s="28">
        <f>+G70</f>
        <v>-7.9840000034892E-3</v>
      </c>
      <c r="O70" s="28">
        <f t="shared" ca="1" si="11"/>
        <v>-4.7315651641801643E-3</v>
      </c>
      <c r="Q70" s="30">
        <f t="shared" si="12"/>
        <v>35077.875999999997</v>
      </c>
      <c r="AA70" s="28" t="s">
        <v>29</v>
      </c>
      <c r="AB70" s="28">
        <v>10</v>
      </c>
      <c r="AD70" s="28" t="s">
        <v>45</v>
      </c>
      <c r="AF70" s="28" t="s">
        <v>34</v>
      </c>
    </row>
    <row r="71" spans="1:32" x14ac:dyDescent="0.2">
      <c r="A71" t="s">
        <v>252</v>
      </c>
      <c r="B71" t="s">
        <v>49</v>
      </c>
      <c r="C71" s="9">
        <v>51098.105000000003</v>
      </c>
      <c r="D71" s="9" t="s">
        <v>73</v>
      </c>
      <c r="E71" s="28">
        <f t="shared" si="9"/>
        <v>8467.9999489518632</v>
      </c>
      <c r="F71" s="28">
        <f t="shared" si="10"/>
        <v>8468</v>
      </c>
      <c r="G71" s="28">
        <f t="shared" si="14"/>
        <v>-1.359999951091595E-4</v>
      </c>
      <c r="H71" s="28"/>
      <c r="I71" s="28">
        <f>+G71</f>
        <v>-1.359999951091595E-4</v>
      </c>
      <c r="J71" s="28"/>
      <c r="K71" s="28"/>
      <c r="L71" s="28"/>
      <c r="M71" s="28"/>
      <c r="N71" s="28"/>
      <c r="O71" s="28">
        <f t="shared" ca="1" si="11"/>
        <v>-4.9895153071078079E-3</v>
      </c>
      <c r="P71" s="28"/>
      <c r="Q71" s="30">
        <f t="shared" si="12"/>
        <v>36079.605000000003</v>
      </c>
    </row>
    <row r="72" spans="1:32" x14ac:dyDescent="0.2">
      <c r="A72" t="s">
        <v>256</v>
      </c>
      <c r="B72" t="s">
        <v>49</v>
      </c>
      <c r="C72" s="9">
        <v>52621.991999999998</v>
      </c>
      <c r="D72" s="9" t="s">
        <v>73</v>
      </c>
      <c r="E72" s="28">
        <f t="shared" ref="E72:E91" si="15">+(C72-C$7)/C$8</f>
        <v>9039.9969671400122</v>
      </c>
      <c r="F72" s="28">
        <f t="shared" ref="F72:F91" si="16">ROUND(2*E72,0)/2</f>
        <v>9040</v>
      </c>
      <c r="G72" s="28">
        <f t="shared" si="14"/>
        <v>-8.0799999996088445E-3</v>
      </c>
      <c r="H72" s="28"/>
      <c r="I72" s="28">
        <f>+G72</f>
        <v>-8.0799999996088445E-3</v>
      </c>
      <c r="J72" s="28"/>
      <c r="K72" s="28"/>
      <c r="L72" s="28"/>
      <c r="M72" s="28"/>
      <c r="N72" s="28"/>
      <c r="O72" s="28">
        <f t="shared" ref="O72:O91" ca="1" si="17">+C$11+C$12*$F72</f>
        <v>-5.3819288224126261E-3</v>
      </c>
      <c r="P72" s="28"/>
      <c r="Q72" s="30">
        <f t="shared" ref="Q72:Q91" si="18">+C72-15018.5</f>
        <v>37603.491999999998</v>
      </c>
    </row>
    <row r="73" spans="1:32" x14ac:dyDescent="0.2">
      <c r="A73" t="s">
        <v>256</v>
      </c>
      <c r="B73" t="s">
        <v>49</v>
      </c>
      <c r="C73" s="9">
        <v>52637.97</v>
      </c>
      <c r="D73" s="9" t="s">
        <v>73</v>
      </c>
      <c r="E73" s="28">
        <f t="shared" si="15"/>
        <v>9045.9943726934507</v>
      </c>
      <c r="F73" s="28">
        <f t="shared" si="16"/>
        <v>9046</v>
      </c>
      <c r="G73" s="28">
        <f t="shared" si="14"/>
        <v>-1.4991999996709637E-2</v>
      </c>
      <c r="H73" s="28"/>
      <c r="I73" s="28">
        <f>+G73</f>
        <v>-1.4991999996709637E-2</v>
      </c>
      <c r="J73" s="28"/>
      <c r="K73" s="28"/>
      <c r="L73" s="28"/>
      <c r="M73" s="28"/>
      <c r="N73" s="28"/>
      <c r="O73" s="28">
        <f t="shared" ca="1" si="17"/>
        <v>-5.3860450480976421E-3</v>
      </c>
      <c r="P73" s="28"/>
      <c r="Q73" s="30">
        <f t="shared" si="18"/>
        <v>37619.47</v>
      </c>
    </row>
    <row r="74" spans="1:32" x14ac:dyDescent="0.2">
      <c r="A74" t="s">
        <v>256</v>
      </c>
      <c r="B74" t="s">
        <v>49</v>
      </c>
      <c r="C74" s="9">
        <v>52637.979700000004</v>
      </c>
      <c r="D74" s="9" t="s">
        <v>73</v>
      </c>
      <c r="E74" s="28">
        <f t="shared" si="15"/>
        <v>9045.9980136268514</v>
      </c>
      <c r="F74" s="28">
        <f t="shared" si="16"/>
        <v>9046</v>
      </c>
      <c r="G74" s="28">
        <f t="shared" si="14"/>
        <v>-5.2919999943696894E-3</v>
      </c>
      <c r="H74" s="28"/>
      <c r="J74" s="28"/>
      <c r="K74" s="28">
        <f>+G74</f>
        <v>-5.2919999943696894E-3</v>
      </c>
      <c r="L74" s="28"/>
      <c r="M74" s="28"/>
      <c r="N74" s="28"/>
      <c r="O74" s="28">
        <f t="shared" ca="1" si="17"/>
        <v>-5.3860450480976421E-3</v>
      </c>
      <c r="P74" s="28"/>
      <c r="Q74" s="30">
        <f t="shared" si="18"/>
        <v>37619.479700000004</v>
      </c>
    </row>
    <row r="75" spans="1:32" x14ac:dyDescent="0.2">
      <c r="A75" t="s">
        <v>267</v>
      </c>
      <c r="B75" t="s">
        <v>49</v>
      </c>
      <c r="C75" s="9">
        <v>53296.035000000003</v>
      </c>
      <c r="D75" s="9" t="s">
        <v>73</v>
      </c>
      <c r="E75" s="28">
        <f t="shared" si="15"/>
        <v>9293.0016755800734</v>
      </c>
      <c r="F75" s="28">
        <f t="shared" si="16"/>
        <v>9293</v>
      </c>
      <c r="G75" s="28">
        <f t="shared" si="14"/>
        <v>4.4640000051003881E-3</v>
      </c>
      <c r="H75" s="28"/>
      <c r="I75" s="28">
        <f>+G75</f>
        <v>4.4640000051003881E-3</v>
      </c>
      <c r="J75" s="28"/>
      <c r="K75" s="28"/>
      <c r="L75" s="28"/>
      <c r="M75" s="28"/>
      <c r="N75" s="28"/>
      <c r="O75" s="28">
        <f t="shared" ca="1" si="17"/>
        <v>-5.5554963387974502E-3</v>
      </c>
      <c r="P75" s="28"/>
      <c r="Q75" s="30">
        <f t="shared" si="18"/>
        <v>38277.535000000003</v>
      </c>
    </row>
    <row r="76" spans="1:32" s="28" customFormat="1" x14ac:dyDescent="0.2">
      <c r="A76" s="34" t="s">
        <v>58</v>
      </c>
      <c r="B76" s="33" t="s">
        <v>49</v>
      </c>
      <c r="C76" s="29">
        <v>53306.675600000002</v>
      </c>
      <c r="D76" s="29">
        <v>2.3E-3</v>
      </c>
      <c r="E76" s="28">
        <f t="shared" si="15"/>
        <v>9296.995666913901</v>
      </c>
      <c r="F76" s="28">
        <f t="shared" si="16"/>
        <v>9297</v>
      </c>
      <c r="G76" s="28">
        <f t="shared" si="14"/>
        <v>-1.1543999993591569E-2</v>
      </c>
      <c r="K76" s="28">
        <f>+G76</f>
        <v>-1.1543999993591569E-2</v>
      </c>
      <c r="O76" s="28">
        <f t="shared" ca="1" si="17"/>
        <v>-5.5582404892541275E-3</v>
      </c>
      <c r="Q76" s="30">
        <f t="shared" si="18"/>
        <v>38288.175600000002</v>
      </c>
    </row>
    <row r="77" spans="1:32" x14ac:dyDescent="0.2">
      <c r="A77" t="s">
        <v>277</v>
      </c>
      <c r="B77" t="s">
        <v>49</v>
      </c>
      <c r="C77" s="9">
        <v>53375.949000000001</v>
      </c>
      <c r="D77" s="9" t="s">
        <v>73</v>
      </c>
      <c r="E77" s="28">
        <f t="shared" si="15"/>
        <v>9322.9977118422685</v>
      </c>
      <c r="F77" s="28">
        <f t="shared" si="16"/>
        <v>9323</v>
      </c>
      <c r="G77" s="28">
        <f t="shared" si="14"/>
        <v>-6.0959999973420054E-3</v>
      </c>
      <c r="H77" s="28"/>
      <c r="I77" s="28">
        <f>+G77</f>
        <v>-6.0959999973420054E-3</v>
      </c>
      <c r="J77" s="28"/>
      <c r="K77" s="28"/>
      <c r="L77" s="28"/>
      <c r="M77" s="28"/>
      <c r="N77" s="28"/>
      <c r="O77" s="28">
        <f t="shared" ca="1" si="17"/>
        <v>-5.5760774672225276E-3</v>
      </c>
      <c r="P77" s="28"/>
      <c r="Q77" s="30">
        <f t="shared" si="18"/>
        <v>38357.449000000001</v>
      </c>
    </row>
    <row r="78" spans="1:32" x14ac:dyDescent="0.2">
      <c r="A78" t="s">
        <v>277</v>
      </c>
      <c r="B78" t="s">
        <v>49</v>
      </c>
      <c r="C78" s="9">
        <v>53391.938000000002</v>
      </c>
      <c r="D78" s="9" t="s">
        <v>73</v>
      </c>
      <c r="E78" s="28">
        <f t="shared" si="15"/>
        <v>9328.9992462892515</v>
      </c>
      <c r="F78" s="28">
        <f t="shared" si="16"/>
        <v>9329</v>
      </c>
      <c r="G78" s="28">
        <f t="shared" si="14"/>
        <v>-2.0080000031157397E-3</v>
      </c>
      <c r="H78" s="28"/>
      <c r="I78" s="28">
        <f>+G78</f>
        <v>-2.0080000031157397E-3</v>
      </c>
      <c r="J78" s="28"/>
      <c r="K78" s="28"/>
      <c r="L78" s="28"/>
      <c r="M78" s="28"/>
      <c r="N78" s="28"/>
      <c r="O78" s="28">
        <f t="shared" ca="1" si="17"/>
        <v>-5.5801936929075436E-3</v>
      </c>
      <c r="P78" s="28"/>
      <c r="Q78" s="30">
        <f t="shared" si="18"/>
        <v>38373.438000000002</v>
      </c>
    </row>
    <row r="79" spans="1:32" x14ac:dyDescent="0.2">
      <c r="A79" t="s">
        <v>286</v>
      </c>
      <c r="B79" t="s">
        <v>49</v>
      </c>
      <c r="C79" s="9">
        <v>53764.915999999997</v>
      </c>
      <c r="D79" s="9" t="s">
        <v>73</v>
      </c>
      <c r="E79" s="28">
        <f t="shared" si="15"/>
        <v>9468.9980151282653</v>
      </c>
      <c r="F79" s="28">
        <f t="shared" si="16"/>
        <v>9469</v>
      </c>
      <c r="G79" s="28">
        <f t="shared" si="14"/>
        <v>-5.288000000291504E-3</v>
      </c>
      <c r="H79" s="28"/>
      <c r="I79" s="28">
        <f>+G79</f>
        <v>-5.288000000291504E-3</v>
      </c>
      <c r="J79" s="28"/>
      <c r="K79" s="28"/>
      <c r="L79" s="28"/>
      <c r="M79" s="28"/>
      <c r="N79" s="28"/>
      <c r="O79" s="28">
        <f t="shared" ca="1" si="17"/>
        <v>-5.6762389588912408E-3</v>
      </c>
      <c r="P79" s="28"/>
      <c r="Q79" s="30">
        <f t="shared" si="18"/>
        <v>38746.415999999997</v>
      </c>
    </row>
    <row r="80" spans="1:32" x14ac:dyDescent="0.2">
      <c r="A80" t="s">
        <v>286</v>
      </c>
      <c r="B80" t="s">
        <v>49</v>
      </c>
      <c r="C80" s="9">
        <v>54097.9306</v>
      </c>
      <c r="D80" s="9" t="s">
        <v>73</v>
      </c>
      <c r="E80" s="28">
        <f t="shared" si="15"/>
        <v>9593.9963635708482</v>
      </c>
      <c r="F80" s="28">
        <f t="shared" si="16"/>
        <v>9594</v>
      </c>
      <c r="G80" s="28">
        <f t="shared" si="14"/>
        <v>-9.6879999982775189E-3</v>
      </c>
      <c r="H80" s="28"/>
      <c r="J80" s="28"/>
      <c r="K80" s="28">
        <f>+G80</f>
        <v>-9.6879999982775189E-3</v>
      </c>
      <c r="L80" s="28"/>
      <c r="M80" s="28"/>
      <c r="N80" s="28"/>
      <c r="O80" s="28">
        <f t="shared" ca="1" si="17"/>
        <v>-5.7619936606623989E-3</v>
      </c>
      <c r="P80" s="28"/>
      <c r="Q80" s="30">
        <f t="shared" si="18"/>
        <v>39079.4306</v>
      </c>
    </row>
    <row r="81" spans="1:18" x14ac:dyDescent="0.2">
      <c r="A81" t="s">
        <v>297</v>
      </c>
      <c r="B81" t="s">
        <v>49</v>
      </c>
      <c r="C81" s="9">
        <v>54113.916499999999</v>
      </c>
      <c r="D81" s="9" t="s">
        <v>73</v>
      </c>
      <c r="E81" s="28">
        <f t="shared" si="15"/>
        <v>9599.9967344205579</v>
      </c>
      <c r="F81" s="28">
        <f t="shared" si="16"/>
        <v>9600</v>
      </c>
      <c r="G81" s="28">
        <f t="shared" si="14"/>
        <v>-8.6999999984982423E-3</v>
      </c>
      <c r="H81" s="28"/>
      <c r="J81" s="28"/>
      <c r="K81" s="28">
        <f>+G81</f>
        <v>-8.6999999984982423E-3</v>
      </c>
      <c r="L81" s="28"/>
      <c r="M81" s="28"/>
      <c r="N81" s="28"/>
      <c r="O81" s="28">
        <f t="shared" ca="1" si="17"/>
        <v>-5.766109886347414E-3</v>
      </c>
      <c r="P81" s="28"/>
      <c r="Q81" s="30">
        <f t="shared" si="18"/>
        <v>39095.416499999999</v>
      </c>
    </row>
    <row r="82" spans="1:18" x14ac:dyDescent="0.2">
      <c r="A82" t="s">
        <v>297</v>
      </c>
      <c r="B82" t="s">
        <v>49</v>
      </c>
      <c r="C82" s="9">
        <v>54454.925999999999</v>
      </c>
      <c r="D82" s="9" t="s">
        <v>73</v>
      </c>
      <c r="E82" s="28">
        <f t="shared" si="15"/>
        <v>9727.9960002282151</v>
      </c>
      <c r="F82" s="28">
        <f t="shared" si="16"/>
        <v>9728</v>
      </c>
      <c r="G82" s="28">
        <f t="shared" si="14"/>
        <v>-1.0655999998562038E-2</v>
      </c>
      <c r="H82" s="28"/>
      <c r="I82" s="28">
        <f>+G82</f>
        <v>-1.0655999998562038E-2</v>
      </c>
      <c r="J82" s="28"/>
      <c r="K82" s="28"/>
      <c r="L82" s="28"/>
      <c r="M82" s="28"/>
      <c r="N82" s="28"/>
      <c r="O82" s="28">
        <f t="shared" ca="1" si="17"/>
        <v>-5.8539227009610801E-3</v>
      </c>
      <c r="P82" s="28"/>
      <c r="Q82" s="30">
        <f t="shared" si="18"/>
        <v>39436.425999999999</v>
      </c>
    </row>
    <row r="83" spans="1:18" x14ac:dyDescent="0.2">
      <c r="A83" s="34" t="s">
        <v>61</v>
      </c>
      <c r="B83" s="33" t="s">
        <v>49</v>
      </c>
      <c r="C83" s="29">
        <v>55480.62</v>
      </c>
      <c r="D83" s="29">
        <v>4.0000000000000001E-3</v>
      </c>
      <c r="E83" s="28">
        <f t="shared" si="15"/>
        <v>10112.994303628322</v>
      </c>
      <c r="F83" s="28">
        <f t="shared" si="16"/>
        <v>10113</v>
      </c>
      <c r="G83" s="28">
        <f t="shared" si="14"/>
        <v>-1.5175999993516598E-2</v>
      </c>
      <c r="H83" s="28"/>
      <c r="I83" s="28">
        <f>+G83</f>
        <v>-1.5175999993516598E-2</v>
      </c>
      <c r="J83" s="28"/>
      <c r="K83" s="28"/>
      <c r="L83" s="28"/>
      <c r="M83" s="28"/>
      <c r="O83" s="28">
        <f t="shared" ca="1" si="17"/>
        <v>-6.1180471824162468E-3</v>
      </c>
      <c r="P83" s="28"/>
      <c r="Q83" s="30">
        <f t="shared" si="18"/>
        <v>40462.120000000003</v>
      </c>
    </row>
    <row r="84" spans="1:18" x14ac:dyDescent="0.2">
      <c r="A84" s="31" t="s">
        <v>62</v>
      </c>
      <c r="B84" s="32" t="s">
        <v>49</v>
      </c>
      <c r="C84" s="31">
        <v>55866.925000000003</v>
      </c>
      <c r="D84" s="31">
        <v>2.9999999999999997E-4</v>
      </c>
      <c r="E84" s="28">
        <f t="shared" si="15"/>
        <v>10257.995414676041</v>
      </c>
      <c r="F84" s="28">
        <f t="shared" si="16"/>
        <v>10258</v>
      </c>
      <c r="G84" s="28">
        <f t="shared" si="14"/>
        <v>-1.2215999995532911E-2</v>
      </c>
      <c r="H84" s="28"/>
      <c r="J84" s="28"/>
      <c r="K84" s="28">
        <f>+G84</f>
        <v>-1.2215999995532911E-2</v>
      </c>
      <c r="L84" s="28"/>
      <c r="M84" s="28"/>
      <c r="N84" s="28"/>
      <c r="O84" s="28">
        <f t="shared" ca="1" si="17"/>
        <v>-6.2175226364707898E-3</v>
      </c>
      <c r="P84" s="28"/>
      <c r="Q84" s="30">
        <f t="shared" si="18"/>
        <v>40848.425000000003</v>
      </c>
      <c r="R84" s="28"/>
    </row>
    <row r="85" spans="1:18" x14ac:dyDescent="0.2">
      <c r="A85" s="28" t="s">
        <v>307</v>
      </c>
      <c r="B85" s="28" t="s">
        <v>49</v>
      </c>
      <c r="C85" s="29">
        <v>56959.252</v>
      </c>
      <c r="D85" s="29" t="s">
        <v>73</v>
      </c>
      <c r="E85" s="28">
        <f t="shared" si="15"/>
        <v>10668.004678411742</v>
      </c>
      <c r="F85" s="28">
        <f t="shared" si="16"/>
        <v>10668</v>
      </c>
      <c r="G85" s="28">
        <f t="shared" si="14"/>
        <v>1.2463999999454245E-2</v>
      </c>
      <c r="H85" s="28"/>
      <c r="I85" s="28">
        <f>+G85</f>
        <v>1.2463999999454245E-2</v>
      </c>
      <c r="J85" s="28"/>
      <c r="K85" s="28"/>
      <c r="L85" s="28"/>
      <c r="M85" s="28"/>
      <c r="N85" s="28"/>
      <c r="O85" s="28">
        <f t="shared" ca="1" si="17"/>
        <v>-6.498798058280188E-3</v>
      </c>
      <c r="P85" s="28"/>
      <c r="Q85" s="30">
        <f t="shared" si="18"/>
        <v>41940.752</v>
      </c>
    </row>
    <row r="86" spans="1:18" x14ac:dyDescent="0.2">
      <c r="A86" s="52" t="s">
        <v>313</v>
      </c>
      <c r="B86" s="53" t="s">
        <v>49</v>
      </c>
      <c r="C86" s="54">
        <v>56972.548199999997</v>
      </c>
      <c r="D86" s="54">
        <v>2.0000000000000001E-4</v>
      </c>
      <c r="E86" s="28">
        <f t="shared" si="15"/>
        <v>10672.995459718513</v>
      </c>
      <c r="F86" s="28">
        <f t="shared" si="16"/>
        <v>10673</v>
      </c>
      <c r="G86" s="28">
        <f t="shared" si="14"/>
        <v>-1.2095999998564366E-2</v>
      </c>
      <c r="H86" s="28"/>
      <c r="J86" s="28"/>
      <c r="K86" s="28">
        <f>+G86</f>
        <v>-1.2095999998564366E-2</v>
      </c>
      <c r="L86" s="28"/>
      <c r="M86" s="28"/>
      <c r="N86" s="28"/>
      <c r="O86" s="28">
        <f t="shared" ca="1" si="17"/>
        <v>-6.5022282463510338E-3</v>
      </c>
      <c r="P86" s="28"/>
      <c r="Q86" s="30">
        <f t="shared" si="18"/>
        <v>41954.048199999997</v>
      </c>
    </row>
    <row r="87" spans="1:18" x14ac:dyDescent="0.2">
      <c r="A87" t="s">
        <v>307</v>
      </c>
      <c r="B87" t="s">
        <v>49</v>
      </c>
      <c r="C87" s="9">
        <v>56975.226000000002</v>
      </c>
      <c r="D87" s="9" t="s">
        <v>73</v>
      </c>
      <c r="E87" s="28">
        <f t="shared" si="15"/>
        <v>10674.000582549344</v>
      </c>
      <c r="F87" s="28">
        <f t="shared" si="16"/>
        <v>10674</v>
      </c>
      <c r="G87" s="28">
        <f t="shared" si="14"/>
        <v>1.5520000015385449E-3</v>
      </c>
      <c r="H87" s="28"/>
      <c r="I87" s="28">
        <f>+G87</f>
        <v>1.5520000015385449E-3</v>
      </c>
      <c r="J87" s="28"/>
      <c r="K87" s="28"/>
      <c r="L87" s="28"/>
      <c r="M87" s="28"/>
      <c r="N87" s="28"/>
      <c r="O87" s="28">
        <f t="shared" ca="1" si="17"/>
        <v>-6.5029142839652032E-3</v>
      </c>
      <c r="P87" s="28"/>
      <c r="Q87" s="30">
        <f t="shared" si="18"/>
        <v>41956.726000000002</v>
      </c>
    </row>
    <row r="88" spans="1:18" x14ac:dyDescent="0.2">
      <c r="A88" s="49" t="s">
        <v>312</v>
      </c>
      <c r="B88" s="50" t="s">
        <v>49</v>
      </c>
      <c r="C88" s="51">
        <v>57276.276999999769</v>
      </c>
      <c r="D88" s="51" t="s">
        <v>73</v>
      </c>
      <c r="E88" s="28">
        <f t="shared" si="15"/>
        <v>10787.001267194879</v>
      </c>
      <c r="F88" s="28">
        <f t="shared" si="16"/>
        <v>10787</v>
      </c>
      <c r="G88" s="28">
        <f t="shared" si="14"/>
        <v>3.3759997677407227E-3</v>
      </c>
      <c r="H88" s="28"/>
      <c r="I88" s="28">
        <f>+G88</f>
        <v>3.3759997677407227E-3</v>
      </c>
      <c r="J88" s="28"/>
      <c r="K88" s="28"/>
      <c r="L88" s="28"/>
      <c r="M88" s="28"/>
      <c r="N88" s="28"/>
      <c r="O88" s="28">
        <f t="shared" ca="1" si="17"/>
        <v>-6.5804365343663301E-3</v>
      </c>
      <c r="P88" s="28"/>
      <c r="Q88" s="30">
        <f t="shared" si="18"/>
        <v>42257.776999999769</v>
      </c>
    </row>
    <row r="89" spans="1:18" x14ac:dyDescent="0.2">
      <c r="A89" s="49" t="s">
        <v>312</v>
      </c>
      <c r="B89" s="50" t="s">
        <v>49</v>
      </c>
      <c r="C89" s="51">
        <v>57308.24599999981</v>
      </c>
      <c r="D89" s="51" t="s">
        <v>73</v>
      </c>
      <c r="E89" s="28">
        <f t="shared" si="15"/>
        <v>10799.000957903232</v>
      </c>
      <c r="F89" s="28">
        <f t="shared" si="16"/>
        <v>10799</v>
      </c>
      <c r="G89" s="28">
        <f t="shared" si="14"/>
        <v>2.5519998089293949E-3</v>
      </c>
      <c r="H89" s="28"/>
      <c r="I89" s="28">
        <f>+G89</f>
        <v>2.5519998089293949E-3</v>
      </c>
      <c r="J89" s="28"/>
      <c r="K89" s="28"/>
      <c r="L89" s="28"/>
      <c r="M89" s="28"/>
      <c r="N89" s="28"/>
      <c r="O89" s="28">
        <f t="shared" ca="1" si="17"/>
        <v>-6.5886689857363612E-3</v>
      </c>
      <c r="P89" s="28"/>
      <c r="Q89" s="30">
        <f t="shared" si="18"/>
        <v>42289.74599999981</v>
      </c>
    </row>
    <row r="90" spans="1:18" x14ac:dyDescent="0.2">
      <c r="A90" s="49" t="s">
        <v>312</v>
      </c>
      <c r="B90" s="50" t="s">
        <v>49</v>
      </c>
      <c r="C90" s="51">
        <v>57332.21</v>
      </c>
      <c r="D90" s="51" t="s">
        <v>73</v>
      </c>
      <c r="E90" s="28">
        <f t="shared" si="15"/>
        <v>10807.995940171582</v>
      </c>
      <c r="F90" s="28">
        <f t="shared" si="16"/>
        <v>10808</v>
      </c>
      <c r="G90" s="28">
        <f t="shared" si="14"/>
        <v>-1.0816000001796056E-2</v>
      </c>
      <c r="H90" s="28"/>
      <c r="I90" s="28">
        <f>+G90</f>
        <v>-1.0816000001796056E-2</v>
      </c>
      <c r="J90" s="28"/>
      <c r="K90" s="28"/>
      <c r="L90" s="28"/>
      <c r="M90" s="28"/>
      <c r="N90" s="28"/>
      <c r="O90" s="28">
        <f t="shared" ca="1" si="17"/>
        <v>-6.5948433242638844E-3</v>
      </c>
      <c r="P90" s="28"/>
      <c r="Q90" s="30">
        <f t="shared" si="18"/>
        <v>42313.71</v>
      </c>
    </row>
    <row r="91" spans="1:18" x14ac:dyDescent="0.2">
      <c r="A91" s="49" t="s">
        <v>0</v>
      </c>
      <c r="B91" s="50" t="s">
        <v>49</v>
      </c>
      <c r="C91" s="51">
        <v>57332.21</v>
      </c>
      <c r="D91" s="49" t="s">
        <v>73</v>
      </c>
      <c r="E91" s="28">
        <f t="shared" si="15"/>
        <v>10807.995940171582</v>
      </c>
      <c r="F91" s="28">
        <f t="shared" si="16"/>
        <v>10808</v>
      </c>
      <c r="G91" s="28">
        <f t="shared" si="14"/>
        <v>-1.0816000001796056E-2</v>
      </c>
      <c r="H91" s="28"/>
      <c r="I91" s="28">
        <f>+G91</f>
        <v>-1.0816000001796056E-2</v>
      </c>
      <c r="J91" s="28"/>
      <c r="K91" s="28"/>
      <c r="L91" s="28"/>
      <c r="M91" s="28"/>
      <c r="N91" s="28"/>
      <c r="O91" s="28">
        <f t="shared" ca="1" si="17"/>
        <v>-6.5948433242638844E-3</v>
      </c>
      <c r="P91" s="28"/>
      <c r="Q91" s="30">
        <f t="shared" si="18"/>
        <v>42313.71</v>
      </c>
    </row>
    <row r="92" spans="1:18" x14ac:dyDescent="0.2">
      <c r="A92" s="55" t="s">
        <v>314</v>
      </c>
      <c r="B92" s="56" t="s">
        <v>49</v>
      </c>
      <c r="C92" s="57">
        <v>59490.166999999899</v>
      </c>
      <c r="D92" s="55" t="s">
        <v>295</v>
      </c>
      <c r="E92" s="28">
        <f t="shared" ref="E92:E93" si="19">+(C92-C$7)/C$8</f>
        <v>11617.993643005317</v>
      </c>
      <c r="F92" s="28">
        <f t="shared" ref="F92:F93" si="20">ROUND(2*E92,0)/2</f>
        <v>11618</v>
      </c>
      <c r="G92" s="28">
        <f t="shared" ref="G92:G93" si="21">+C92-(C$7+F92*C$8)</f>
        <v>-1.6936000101850368E-2</v>
      </c>
      <c r="H92" s="28"/>
      <c r="J92" s="28"/>
      <c r="K92" s="28">
        <f>+G92</f>
        <v>-1.6936000101850368E-2</v>
      </c>
      <c r="L92" s="28"/>
      <c r="M92" s="28"/>
      <c r="N92" s="28"/>
      <c r="O92" s="28">
        <f t="shared" ref="O92:O93" ca="1" si="22">+C$11+C$12*$F92</f>
        <v>-7.1505337917409885E-3</v>
      </c>
      <c r="P92" s="28"/>
      <c r="Q92" s="30">
        <f t="shared" ref="Q92:Q93" si="23">+C92-15018.5</f>
        <v>44471.666999999899</v>
      </c>
    </row>
    <row r="93" spans="1:18" x14ac:dyDescent="0.2">
      <c r="A93" s="55" t="s">
        <v>314</v>
      </c>
      <c r="B93" s="56" t="s">
        <v>49</v>
      </c>
      <c r="C93" s="57">
        <v>59498.160500000231</v>
      </c>
      <c r="D93" s="55" t="s">
        <v>295</v>
      </c>
      <c r="E93" s="28">
        <f t="shared" si="19"/>
        <v>11620.994034874973</v>
      </c>
      <c r="F93" s="28">
        <f t="shared" si="20"/>
        <v>11621</v>
      </c>
      <c r="G93" s="28">
        <f t="shared" si="21"/>
        <v>-1.5891999770246912E-2</v>
      </c>
      <c r="H93" s="28"/>
      <c r="J93" s="28"/>
      <c r="K93" s="28">
        <f>+G93</f>
        <v>-1.5891999770246912E-2</v>
      </c>
      <c r="L93" s="28"/>
      <c r="M93" s="28"/>
      <c r="N93" s="28"/>
      <c r="O93" s="28">
        <f t="shared" ca="1" si="22"/>
        <v>-7.1525919045834956E-3</v>
      </c>
      <c r="P93" s="28"/>
      <c r="Q93" s="30">
        <f t="shared" si="23"/>
        <v>44479.660500000231</v>
      </c>
    </row>
    <row r="94" spans="1:18" x14ac:dyDescent="0.2">
      <c r="C94" s="9"/>
      <c r="D94" s="9"/>
    </row>
    <row r="95" spans="1:18" x14ac:dyDescent="0.2">
      <c r="C95" s="9"/>
      <c r="D95" s="9"/>
    </row>
    <row r="96" spans="1:18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</sheetData>
  <phoneticPr fontId="8" type="noConversion"/>
  <hyperlinks>
    <hyperlink ref="H568" r:id="rId1" display="http://vsolj.cetus-net.org/bulletin.html"/>
    <hyperlink ref="L571" r:id="rId2" display="http://vsolj.cetus-net.org/bulletin.html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5"/>
  <sheetViews>
    <sheetView topLeftCell="A23" workbookViewId="0">
      <selection activeCell="A21" sqref="A21:D72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5" t="s">
        <v>63</v>
      </c>
      <c r="I1" s="36" t="s">
        <v>64</v>
      </c>
      <c r="J1" s="37" t="s">
        <v>65</v>
      </c>
    </row>
    <row r="2" spans="1:16" x14ac:dyDescent="0.2">
      <c r="I2" s="38" t="s">
        <v>66</v>
      </c>
      <c r="J2" s="39" t="s">
        <v>67</v>
      </c>
    </row>
    <row r="3" spans="1:16" x14ac:dyDescent="0.2">
      <c r="A3" s="40" t="s">
        <v>68</v>
      </c>
      <c r="I3" s="38" t="s">
        <v>69</v>
      </c>
      <c r="J3" s="39" t="s">
        <v>70</v>
      </c>
    </row>
    <row r="4" spans="1:16" x14ac:dyDescent="0.2">
      <c r="I4" s="38" t="s">
        <v>71</v>
      </c>
      <c r="J4" s="39" t="s">
        <v>70</v>
      </c>
    </row>
    <row r="5" spans="1:16" ht="13.5" thickBot="1" x14ac:dyDescent="0.25">
      <c r="I5" s="41" t="s">
        <v>72</v>
      </c>
      <c r="J5" s="42" t="s">
        <v>73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IBVS 795 </v>
      </c>
      <c r="B11" s="14" t="str">
        <f t="shared" ref="B11:B42" si="1">IF(H11=INT(H11),"I","II")</f>
        <v>I</v>
      </c>
      <c r="C11" s="9">
        <f t="shared" ref="C11:C42" si="2">1*G11</f>
        <v>40566.71</v>
      </c>
      <c r="D11" s="11" t="str">
        <f t="shared" ref="D11:D42" si="3">VLOOKUP(F11,I$1:J$5,2,FALSE)</f>
        <v>vis</v>
      </c>
      <c r="E11" s="43">
        <f>VLOOKUP(C11,Active!C$21:E$965,3,FALSE)</f>
        <v>4514.9991441929742</v>
      </c>
      <c r="F11" s="14" t="s">
        <v>72</v>
      </c>
      <c r="G11" s="11" t="str">
        <f t="shared" ref="G11:G42" si="4">MID(I11,3,LEN(I11)-3)</f>
        <v>40566.710</v>
      </c>
      <c r="H11" s="9">
        <f t="shared" ref="H11:H42" si="5">1*K11</f>
        <v>4515</v>
      </c>
      <c r="I11" s="44" t="s">
        <v>205</v>
      </c>
      <c r="J11" s="45" t="s">
        <v>206</v>
      </c>
      <c r="K11" s="44">
        <v>4515</v>
      </c>
      <c r="L11" s="44" t="s">
        <v>207</v>
      </c>
      <c r="M11" s="45" t="s">
        <v>124</v>
      </c>
      <c r="N11" s="45"/>
      <c r="O11" s="46" t="s">
        <v>208</v>
      </c>
      <c r="P11" s="47" t="s">
        <v>209</v>
      </c>
    </row>
    <row r="12" spans="1:16" ht="12.75" customHeight="1" thickBot="1" x14ac:dyDescent="0.25">
      <c r="A12" s="9" t="str">
        <f t="shared" si="0"/>
        <v> BBS 6 </v>
      </c>
      <c r="B12" s="14" t="str">
        <f t="shared" si="1"/>
        <v>I</v>
      </c>
      <c r="C12" s="9">
        <f t="shared" si="2"/>
        <v>41616.409</v>
      </c>
      <c r="D12" s="11" t="str">
        <f t="shared" si="3"/>
        <v>vis</v>
      </c>
      <c r="E12" s="43">
        <f>VLOOKUP(C12,Active!C$21:E$965,3,FALSE)</f>
        <v>4909.0078193736699</v>
      </c>
      <c r="F12" s="14" t="s">
        <v>72</v>
      </c>
      <c r="G12" s="11" t="str">
        <f t="shared" si="4"/>
        <v>41616.409</v>
      </c>
      <c r="H12" s="9">
        <f t="shared" si="5"/>
        <v>4909</v>
      </c>
      <c r="I12" s="44" t="s">
        <v>210</v>
      </c>
      <c r="J12" s="45" t="s">
        <v>211</v>
      </c>
      <c r="K12" s="44">
        <v>4909</v>
      </c>
      <c r="L12" s="44" t="s">
        <v>212</v>
      </c>
      <c r="M12" s="45" t="s">
        <v>124</v>
      </c>
      <c r="N12" s="45"/>
      <c r="O12" s="46" t="s">
        <v>213</v>
      </c>
      <c r="P12" s="46" t="s">
        <v>214</v>
      </c>
    </row>
    <row r="13" spans="1:16" ht="12.75" customHeight="1" thickBot="1" x14ac:dyDescent="0.25">
      <c r="A13" s="9" t="str">
        <f t="shared" si="0"/>
        <v> BBS 7 </v>
      </c>
      <c r="B13" s="14" t="str">
        <f t="shared" si="1"/>
        <v>I</v>
      </c>
      <c r="C13" s="9">
        <f t="shared" si="2"/>
        <v>41688.313000000002</v>
      </c>
      <c r="D13" s="11" t="str">
        <f t="shared" si="3"/>
        <v>vis</v>
      </c>
      <c r="E13" s="43">
        <f>VLOOKUP(C13,Active!C$21:E$965,3,FALSE)</f>
        <v>4935.9972704260126</v>
      </c>
      <c r="F13" s="14" t="s">
        <v>72</v>
      </c>
      <c r="G13" s="11" t="str">
        <f t="shared" si="4"/>
        <v>41688.313</v>
      </c>
      <c r="H13" s="9">
        <f t="shared" si="5"/>
        <v>4936</v>
      </c>
      <c r="I13" s="44" t="s">
        <v>215</v>
      </c>
      <c r="J13" s="45" t="s">
        <v>216</v>
      </c>
      <c r="K13" s="44">
        <v>4936</v>
      </c>
      <c r="L13" s="44" t="s">
        <v>217</v>
      </c>
      <c r="M13" s="45" t="s">
        <v>124</v>
      </c>
      <c r="N13" s="45"/>
      <c r="O13" s="46" t="s">
        <v>213</v>
      </c>
      <c r="P13" s="46" t="s">
        <v>218</v>
      </c>
    </row>
    <row r="14" spans="1:16" ht="12.75" customHeight="1" thickBot="1" x14ac:dyDescent="0.25">
      <c r="A14" s="9" t="str">
        <f t="shared" si="0"/>
        <v> BBS 8 </v>
      </c>
      <c r="B14" s="14" t="str">
        <f t="shared" si="1"/>
        <v>I</v>
      </c>
      <c r="C14" s="9">
        <f t="shared" si="2"/>
        <v>41728.307999999997</v>
      </c>
      <c r="D14" s="11" t="str">
        <f t="shared" si="3"/>
        <v>vis</v>
      </c>
      <c r="E14" s="43">
        <f>VLOOKUP(C14,Active!C$21:E$965,3,FALSE)</f>
        <v>4951.009552007542</v>
      </c>
      <c r="F14" s="14" t="s">
        <v>72</v>
      </c>
      <c r="G14" s="11" t="str">
        <f t="shared" si="4"/>
        <v>41728.308</v>
      </c>
      <c r="H14" s="9">
        <f t="shared" si="5"/>
        <v>4951</v>
      </c>
      <c r="I14" s="44" t="s">
        <v>219</v>
      </c>
      <c r="J14" s="45" t="s">
        <v>220</v>
      </c>
      <c r="K14" s="44">
        <v>4951</v>
      </c>
      <c r="L14" s="44" t="s">
        <v>221</v>
      </c>
      <c r="M14" s="45" t="s">
        <v>124</v>
      </c>
      <c r="N14" s="45"/>
      <c r="O14" s="46" t="s">
        <v>213</v>
      </c>
      <c r="P14" s="46" t="s">
        <v>222</v>
      </c>
    </row>
    <row r="15" spans="1:16" ht="12.75" customHeight="1" thickBot="1" x14ac:dyDescent="0.25">
      <c r="A15" s="9" t="str">
        <f t="shared" si="0"/>
        <v> BBS 20 </v>
      </c>
      <c r="B15" s="14" t="str">
        <f t="shared" si="1"/>
        <v>I</v>
      </c>
      <c r="C15" s="9">
        <f t="shared" si="2"/>
        <v>42426.284</v>
      </c>
      <c r="D15" s="11" t="str">
        <f t="shared" si="3"/>
        <v>vis</v>
      </c>
      <c r="E15" s="43">
        <f>VLOOKUP(C15,Active!C$21:E$965,3,FALSE)</f>
        <v>5212.9976067431589</v>
      </c>
      <c r="F15" s="14" t="s">
        <v>72</v>
      </c>
      <c r="G15" s="11" t="str">
        <f t="shared" si="4"/>
        <v>42426.284</v>
      </c>
      <c r="H15" s="9">
        <f t="shared" si="5"/>
        <v>5213</v>
      </c>
      <c r="I15" s="44" t="s">
        <v>223</v>
      </c>
      <c r="J15" s="45" t="s">
        <v>224</v>
      </c>
      <c r="K15" s="44">
        <v>5213</v>
      </c>
      <c r="L15" s="44" t="s">
        <v>225</v>
      </c>
      <c r="M15" s="45" t="s">
        <v>124</v>
      </c>
      <c r="N15" s="45"/>
      <c r="O15" s="46" t="s">
        <v>226</v>
      </c>
      <c r="P15" s="46" t="s">
        <v>227</v>
      </c>
    </row>
    <row r="16" spans="1:16" ht="12.75" customHeight="1" thickBot="1" x14ac:dyDescent="0.25">
      <c r="A16" s="9" t="str">
        <f t="shared" si="0"/>
        <v> BBS 82 </v>
      </c>
      <c r="B16" s="14" t="str">
        <f t="shared" si="1"/>
        <v>I</v>
      </c>
      <c r="C16" s="9">
        <f t="shared" si="2"/>
        <v>46707.542999999998</v>
      </c>
      <c r="D16" s="11" t="str">
        <f t="shared" si="3"/>
        <v>vis</v>
      </c>
      <c r="E16" s="43">
        <f>VLOOKUP(C16,Active!C$21:E$965,3,FALSE)</f>
        <v>6819.9851209690733</v>
      </c>
      <c r="F16" s="14" t="s">
        <v>72</v>
      </c>
      <c r="G16" s="11" t="str">
        <f t="shared" si="4"/>
        <v>46707.543</v>
      </c>
      <c r="H16" s="9">
        <f t="shared" si="5"/>
        <v>6820</v>
      </c>
      <c r="I16" s="44" t="s">
        <v>228</v>
      </c>
      <c r="J16" s="45" t="s">
        <v>229</v>
      </c>
      <c r="K16" s="44">
        <v>6820</v>
      </c>
      <c r="L16" s="44" t="s">
        <v>230</v>
      </c>
      <c r="M16" s="45" t="s">
        <v>124</v>
      </c>
      <c r="N16" s="45"/>
      <c r="O16" s="46" t="s">
        <v>231</v>
      </c>
      <c r="P16" s="46" t="s">
        <v>232</v>
      </c>
    </row>
    <row r="17" spans="1:16" ht="12.75" customHeight="1" thickBot="1" x14ac:dyDescent="0.25">
      <c r="A17" s="9" t="str">
        <f t="shared" si="0"/>
        <v> BBS 90 </v>
      </c>
      <c r="B17" s="14" t="str">
        <f t="shared" si="1"/>
        <v>I</v>
      </c>
      <c r="C17" s="9">
        <f t="shared" si="2"/>
        <v>47477.466</v>
      </c>
      <c r="D17" s="11" t="str">
        <f t="shared" si="3"/>
        <v>vis</v>
      </c>
      <c r="E17" s="43">
        <f>VLOOKUP(C17,Active!C$21:E$965,3,FALSE)</f>
        <v>7108.9787669772595</v>
      </c>
      <c r="F17" s="14" t="s">
        <v>72</v>
      </c>
      <c r="G17" s="11" t="str">
        <f t="shared" si="4"/>
        <v>47477.466</v>
      </c>
      <c r="H17" s="9">
        <f t="shared" si="5"/>
        <v>7109</v>
      </c>
      <c r="I17" s="44" t="s">
        <v>233</v>
      </c>
      <c r="J17" s="45" t="s">
        <v>234</v>
      </c>
      <c r="K17" s="44">
        <v>7109</v>
      </c>
      <c r="L17" s="44" t="s">
        <v>235</v>
      </c>
      <c r="M17" s="45" t="s">
        <v>124</v>
      </c>
      <c r="N17" s="45"/>
      <c r="O17" s="46" t="s">
        <v>231</v>
      </c>
      <c r="P17" s="46" t="s">
        <v>236</v>
      </c>
    </row>
    <row r="18" spans="1:16" ht="12.75" customHeight="1" thickBot="1" x14ac:dyDescent="0.25">
      <c r="A18" s="9" t="str">
        <f t="shared" si="0"/>
        <v> BBS 106 </v>
      </c>
      <c r="B18" s="14" t="str">
        <f t="shared" si="1"/>
        <v>I</v>
      </c>
      <c r="C18" s="9">
        <f t="shared" si="2"/>
        <v>49374.394099999998</v>
      </c>
      <c r="D18" s="11" t="str">
        <f t="shared" si="3"/>
        <v>vis</v>
      </c>
      <c r="E18" s="43">
        <f>VLOOKUP(C18,Active!C$21:E$965,3,FALSE)</f>
        <v>7820.9982388392245</v>
      </c>
      <c r="F18" s="14" t="s">
        <v>72</v>
      </c>
      <c r="G18" s="11" t="str">
        <f t="shared" si="4"/>
        <v>49374.3941</v>
      </c>
      <c r="H18" s="9">
        <f t="shared" si="5"/>
        <v>7821</v>
      </c>
      <c r="I18" s="44" t="s">
        <v>237</v>
      </c>
      <c r="J18" s="45" t="s">
        <v>238</v>
      </c>
      <c r="K18" s="44">
        <v>7821</v>
      </c>
      <c r="L18" s="44" t="s">
        <v>239</v>
      </c>
      <c r="M18" s="45" t="s">
        <v>185</v>
      </c>
      <c r="N18" s="45" t="s">
        <v>34</v>
      </c>
      <c r="O18" s="46" t="s">
        <v>240</v>
      </c>
      <c r="P18" s="46" t="s">
        <v>241</v>
      </c>
    </row>
    <row r="19" spans="1:16" ht="12.75" customHeight="1" thickBot="1" x14ac:dyDescent="0.25">
      <c r="A19" s="9" t="str">
        <f t="shared" si="0"/>
        <v> BBS 111 </v>
      </c>
      <c r="B19" s="14" t="str">
        <f t="shared" si="1"/>
        <v>I</v>
      </c>
      <c r="C19" s="9">
        <f t="shared" si="2"/>
        <v>50096.375999999997</v>
      </c>
      <c r="D19" s="11" t="str">
        <f t="shared" si="3"/>
        <v>vis</v>
      </c>
      <c r="E19" s="43">
        <f>VLOOKUP(C19,Active!C$21:E$965,3,FALSE)</f>
        <v>8091.9970031739922</v>
      </c>
      <c r="F19" s="14" t="s">
        <v>72</v>
      </c>
      <c r="G19" s="11" t="str">
        <f t="shared" si="4"/>
        <v>50096.376</v>
      </c>
      <c r="H19" s="9">
        <f t="shared" si="5"/>
        <v>8092</v>
      </c>
      <c r="I19" s="44" t="s">
        <v>242</v>
      </c>
      <c r="J19" s="45" t="s">
        <v>243</v>
      </c>
      <c r="K19" s="44">
        <v>8092</v>
      </c>
      <c r="L19" s="44" t="s">
        <v>135</v>
      </c>
      <c r="M19" s="45" t="s">
        <v>124</v>
      </c>
      <c r="N19" s="45"/>
      <c r="O19" s="46" t="s">
        <v>244</v>
      </c>
      <c r="P19" s="46" t="s">
        <v>245</v>
      </c>
    </row>
    <row r="20" spans="1:16" ht="12.75" customHeight="1" thickBot="1" x14ac:dyDescent="0.25">
      <c r="A20" s="9" t="str">
        <f t="shared" si="0"/>
        <v>IBVS 5843 </v>
      </c>
      <c r="B20" s="14" t="str">
        <f t="shared" si="1"/>
        <v>I</v>
      </c>
      <c r="C20" s="9">
        <f t="shared" si="2"/>
        <v>53306.675600000002</v>
      </c>
      <c r="D20" s="11" t="str">
        <f t="shared" si="3"/>
        <v>vis</v>
      </c>
      <c r="E20" s="43">
        <f>VLOOKUP(C20,Active!C$21:E$965,3,FALSE)</f>
        <v>9296.995666913901</v>
      </c>
      <c r="F20" s="14" t="s">
        <v>72</v>
      </c>
      <c r="G20" s="11" t="str">
        <f t="shared" si="4"/>
        <v>53306.6756</v>
      </c>
      <c r="H20" s="9">
        <f t="shared" si="5"/>
        <v>9297</v>
      </c>
      <c r="I20" s="44" t="s">
        <v>268</v>
      </c>
      <c r="J20" s="45" t="s">
        <v>269</v>
      </c>
      <c r="K20" s="44">
        <v>9297</v>
      </c>
      <c r="L20" s="44" t="s">
        <v>270</v>
      </c>
      <c r="M20" s="45" t="s">
        <v>249</v>
      </c>
      <c r="N20" s="45" t="s">
        <v>271</v>
      </c>
      <c r="O20" s="46" t="s">
        <v>272</v>
      </c>
      <c r="P20" s="47" t="s">
        <v>273</v>
      </c>
    </row>
    <row r="21" spans="1:16" ht="12.75" customHeight="1" thickBot="1" x14ac:dyDescent="0.25">
      <c r="A21" s="9" t="str">
        <f t="shared" si="0"/>
        <v> HB 918.13 </v>
      </c>
      <c r="B21" s="14" t="str">
        <f t="shared" si="1"/>
        <v>I</v>
      </c>
      <c r="C21" s="9">
        <f t="shared" si="2"/>
        <v>15957.885</v>
      </c>
      <c r="D21" s="11" t="str">
        <f t="shared" si="3"/>
        <v>vis</v>
      </c>
      <c r="E21" s="43">
        <f>VLOOKUP(C21,Active!C$21:E$965,3,FALSE)</f>
        <v>-4722.020740558346</v>
      </c>
      <c r="F21" s="14" t="s">
        <v>72</v>
      </c>
      <c r="G21" s="11" t="str">
        <f t="shared" si="4"/>
        <v>15957.885</v>
      </c>
      <c r="H21" s="9">
        <f t="shared" si="5"/>
        <v>-4722</v>
      </c>
      <c r="I21" s="44" t="s">
        <v>75</v>
      </c>
      <c r="J21" s="45" t="s">
        <v>76</v>
      </c>
      <c r="K21" s="44">
        <v>-4722</v>
      </c>
      <c r="L21" s="44" t="s">
        <v>77</v>
      </c>
      <c r="M21" s="45" t="s">
        <v>78</v>
      </c>
      <c r="N21" s="45"/>
      <c r="O21" s="46" t="s">
        <v>79</v>
      </c>
      <c r="P21" s="46" t="s">
        <v>80</v>
      </c>
    </row>
    <row r="22" spans="1:16" ht="12.75" customHeight="1" thickBot="1" x14ac:dyDescent="0.25">
      <c r="A22" s="9" t="str">
        <f t="shared" si="0"/>
        <v> HB 918.13 </v>
      </c>
      <c r="B22" s="14" t="str">
        <f t="shared" si="1"/>
        <v>I</v>
      </c>
      <c r="C22" s="9">
        <f t="shared" si="2"/>
        <v>16775.813999999998</v>
      </c>
      <c r="D22" s="11" t="str">
        <f t="shared" si="3"/>
        <v>vis</v>
      </c>
      <c r="E22" s="43">
        <f>VLOOKUP(C22,Active!C$21:E$965,3,FALSE)</f>
        <v>-4415.0078524048176</v>
      </c>
      <c r="F22" s="14" t="s">
        <v>72</v>
      </c>
      <c r="G22" s="11" t="str">
        <f t="shared" si="4"/>
        <v>16775.814</v>
      </c>
      <c r="H22" s="9">
        <f t="shared" si="5"/>
        <v>-4415</v>
      </c>
      <c r="I22" s="44" t="s">
        <v>81</v>
      </c>
      <c r="J22" s="45" t="s">
        <v>82</v>
      </c>
      <c r="K22" s="44">
        <v>-4415</v>
      </c>
      <c r="L22" s="44" t="s">
        <v>83</v>
      </c>
      <c r="M22" s="45" t="s">
        <v>78</v>
      </c>
      <c r="N22" s="45"/>
      <c r="O22" s="46" t="s">
        <v>79</v>
      </c>
      <c r="P22" s="46" t="s">
        <v>80</v>
      </c>
    </row>
    <row r="23" spans="1:16" ht="12.75" customHeight="1" thickBot="1" x14ac:dyDescent="0.25">
      <c r="A23" s="9" t="str">
        <f t="shared" si="0"/>
        <v> HB 918.13 </v>
      </c>
      <c r="B23" s="14" t="str">
        <f t="shared" si="1"/>
        <v>I</v>
      </c>
      <c r="C23" s="9">
        <f t="shared" si="2"/>
        <v>17140.855</v>
      </c>
      <c r="D23" s="11" t="str">
        <f t="shared" si="3"/>
        <v>vis</v>
      </c>
      <c r="E23" s="43">
        <f>VLOOKUP(C23,Active!C$21:E$965,3,FALSE)</f>
        <v>-4277.9882679366638</v>
      </c>
      <c r="F23" s="14" t="s">
        <v>72</v>
      </c>
      <c r="G23" s="11" t="str">
        <f t="shared" si="4"/>
        <v>17140.855</v>
      </c>
      <c r="H23" s="9">
        <f t="shared" si="5"/>
        <v>-4278</v>
      </c>
      <c r="I23" s="44" t="s">
        <v>84</v>
      </c>
      <c r="J23" s="45" t="s">
        <v>85</v>
      </c>
      <c r="K23" s="44">
        <v>-4278</v>
      </c>
      <c r="L23" s="44" t="s">
        <v>86</v>
      </c>
      <c r="M23" s="45" t="s">
        <v>78</v>
      </c>
      <c r="N23" s="45"/>
      <c r="O23" s="46" t="s">
        <v>79</v>
      </c>
      <c r="P23" s="46" t="s">
        <v>80</v>
      </c>
    </row>
    <row r="24" spans="1:16" ht="12.75" customHeight="1" thickBot="1" x14ac:dyDescent="0.25">
      <c r="A24" s="9" t="str">
        <f t="shared" si="0"/>
        <v> HB 918.13 </v>
      </c>
      <c r="B24" s="14" t="str">
        <f t="shared" si="1"/>
        <v>I</v>
      </c>
      <c r="C24" s="9">
        <f t="shared" si="2"/>
        <v>17521.777999999998</v>
      </c>
      <c r="D24" s="11" t="str">
        <f t="shared" si="3"/>
        <v>vis</v>
      </c>
      <c r="E24" s="43">
        <f>VLOOKUP(C24,Active!C$21:E$965,3,FALSE)</f>
        <v>-4135.0073118951168</v>
      </c>
      <c r="F24" s="14" t="s">
        <v>72</v>
      </c>
      <c r="G24" s="11" t="str">
        <f t="shared" si="4"/>
        <v>17521.778</v>
      </c>
      <c r="H24" s="9">
        <f t="shared" si="5"/>
        <v>-4135</v>
      </c>
      <c r="I24" s="44" t="s">
        <v>87</v>
      </c>
      <c r="J24" s="45" t="s">
        <v>88</v>
      </c>
      <c r="K24" s="44">
        <v>-4135</v>
      </c>
      <c r="L24" s="44" t="s">
        <v>89</v>
      </c>
      <c r="M24" s="45" t="s">
        <v>78</v>
      </c>
      <c r="N24" s="45"/>
      <c r="O24" s="46" t="s">
        <v>79</v>
      </c>
      <c r="P24" s="46" t="s">
        <v>80</v>
      </c>
    </row>
    <row r="25" spans="1:16" ht="12.75" customHeight="1" thickBot="1" x14ac:dyDescent="0.25">
      <c r="A25" s="9" t="str">
        <f t="shared" si="0"/>
        <v> HB 918.13 </v>
      </c>
      <c r="B25" s="14" t="str">
        <f t="shared" si="1"/>
        <v>I</v>
      </c>
      <c r="C25" s="9">
        <f t="shared" si="2"/>
        <v>18560.825000000001</v>
      </c>
      <c r="D25" s="11" t="str">
        <f t="shared" si="3"/>
        <v>vis</v>
      </c>
      <c r="E25" s="43">
        <f>VLOOKUP(C25,Active!C$21:E$965,3,FALSE)</f>
        <v>-3744.996907083379</v>
      </c>
      <c r="F25" s="14" t="s">
        <v>72</v>
      </c>
      <c r="G25" s="11" t="str">
        <f t="shared" si="4"/>
        <v>18560.825</v>
      </c>
      <c r="H25" s="9">
        <f t="shared" si="5"/>
        <v>-3745</v>
      </c>
      <c r="I25" s="44" t="s">
        <v>90</v>
      </c>
      <c r="J25" s="45" t="s">
        <v>91</v>
      </c>
      <c r="K25" s="44">
        <v>-3745</v>
      </c>
      <c r="L25" s="44" t="s">
        <v>92</v>
      </c>
      <c r="M25" s="45" t="s">
        <v>78</v>
      </c>
      <c r="N25" s="45"/>
      <c r="O25" s="46" t="s">
        <v>79</v>
      </c>
      <c r="P25" s="46" t="s">
        <v>80</v>
      </c>
    </row>
    <row r="26" spans="1:16" ht="12.75" customHeight="1" thickBot="1" x14ac:dyDescent="0.25">
      <c r="A26" s="9" t="str">
        <f t="shared" si="0"/>
        <v> HB 918.13 </v>
      </c>
      <c r="B26" s="14" t="str">
        <f t="shared" si="1"/>
        <v>I</v>
      </c>
      <c r="C26" s="9">
        <f t="shared" si="2"/>
        <v>18592.795999999998</v>
      </c>
      <c r="D26" s="11" t="str">
        <f t="shared" si="3"/>
        <v>vis</v>
      </c>
      <c r="E26" s="43">
        <f>VLOOKUP(C26,Active!C$21:E$965,3,FALSE)</f>
        <v>-3732.9964656671241</v>
      </c>
      <c r="F26" s="14" t="s">
        <v>72</v>
      </c>
      <c r="G26" s="11" t="str">
        <f t="shared" si="4"/>
        <v>18592.796</v>
      </c>
      <c r="H26" s="9">
        <f t="shared" si="5"/>
        <v>-3733</v>
      </c>
      <c r="I26" s="44" t="s">
        <v>93</v>
      </c>
      <c r="J26" s="45" t="s">
        <v>94</v>
      </c>
      <c r="K26" s="44">
        <v>-3733</v>
      </c>
      <c r="L26" s="44" t="s">
        <v>95</v>
      </c>
      <c r="M26" s="45" t="s">
        <v>78</v>
      </c>
      <c r="N26" s="45"/>
      <c r="O26" s="46" t="s">
        <v>79</v>
      </c>
      <c r="P26" s="46" t="s">
        <v>80</v>
      </c>
    </row>
    <row r="27" spans="1:16" ht="12.75" customHeight="1" thickBot="1" x14ac:dyDescent="0.25">
      <c r="A27" s="9" t="str">
        <f t="shared" si="0"/>
        <v> HB 918.13 </v>
      </c>
      <c r="B27" s="14" t="str">
        <f t="shared" si="1"/>
        <v>I</v>
      </c>
      <c r="C27" s="9">
        <f t="shared" si="2"/>
        <v>18600.785</v>
      </c>
      <c r="D27" s="11" t="str">
        <f t="shared" si="3"/>
        <v>vis</v>
      </c>
      <c r="E27" s="43">
        <f>VLOOKUP(C27,Active!C$21:E$965,3,FALSE)</f>
        <v>-3729.9977628904053</v>
      </c>
      <c r="F27" s="14" t="s">
        <v>72</v>
      </c>
      <c r="G27" s="11" t="str">
        <f t="shared" si="4"/>
        <v>18600.785</v>
      </c>
      <c r="H27" s="9">
        <f t="shared" si="5"/>
        <v>-3730</v>
      </c>
      <c r="I27" s="44" t="s">
        <v>96</v>
      </c>
      <c r="J27" s="45" t="s">
        <v>97</v>
      </c>
      <c r="K27" s="44">
        <v>-3730</v>
      </c>
      <c r="L27" s="44" t="s">
        <v>98</v>
      </c>
      <c r="M27" s="45" t="s">
        <v>78</v>
      </c>
      <c r="N27" s="45"/>
      <c r="O27" s="46" t="s">
        <v>79</v>
      </c>
      <c r="P27" s="46" t="s">
        <v>80</v>
      </c>
    </row>
    <row r="28" spans="1:16" ht="12.75" customHeight="1" thickBot="1" x14ac:dyDescent="0.25">
      <c r="A28" s="9" t="str">
        <f t="shared" si="0"/>
        <v> HB 918.13 </v>
      </c>
      <c r="B28" s="14" t="str">
        <f t="shared" si="1"/>
        <v>I</v>
      </c>
      <c r="C28" s="9">
        <f t="shared" si="2"/>
        <v>20417.794000000002</v>
      </c>
      <c r="D28" s="11" t="str">
        <f t="shared" si="3"/>
        <v>vis</v>
      </c>
      <c r="E28" s="43">
        <f>VLOOKUP(C28,Active!C$21:E$965,3,FALSE)</f>
        <v>-3047.9762415958239</v>
      </c>
      <c r="F28" s="14" t="s">
        <v>72</v>
      </c>
      <c r="G28" s="11" t="str">
        <f t="shared" si="4"/>
        <v>20417.794</v>
      </c>
      <c r="H28" s="9">
        <f t="shared" si="5"/>
        <v>-3048</v>
      </c>
      <c r="I28" s="44" t="s">
        <v>99</v>
      </c>
      <c r="J28" s="45" t="s">
        <v>100</v>
      </c>
      <c r="K28" s="44">
        <v>-3048</v>
      </c>
      <c r="L28" s="44" t="s">
        <v>101</v>
      </c>
      <c r="M28" s="45" t="s">
        <v>78</v>
      </c>
      <c r="N28" s="45"/>
      <c r="O28" s="46" t="s">
        <v>79</v>
      </c>
      <c r="P28" s="46" t="s">
        <v>80</v>
      </c>
    </row>
    <row r="29" spans="1:16" ht="12.75" customHeight="1" thickBot="1" x14ac:dyDescent="0.25">
      <c r="A29" s="9" t="str">
        <f t="shared" si="0"/>
        <v> HB 918.13 </v>
      </c>
      <c r="B29" s="14" t="str">
        <f t="shared" si="1"/>
        <v>I</v>
      </c>
      <c r="C29" s="9">
        <f t="shared" si="2"/>
        <v>21576.612000000001</v>
      </c>
      <c r="D29" s="11" t="str">
        <f t="shared" si="3"/>
        <v>vis</v>
      </c>
      <c r="E29" s="43">
        <f>VLOOKUP(C29,Active!C$21:E$965,3,FALSE)</f>
        <v>-2613.009317786672</v>
      </c>
      <c r="F29" s="14" t="s">
        <v>72</v>
      </c>
      <c r="G29" s="11" t="str">
        <f t="shared" si="4"/>
        <v>21576.612</v>
      </c>
      <c r="H29" s="9">
        <f t="shared" si="5"/>
        <v>-2613</v>
      </c>
      <c r="I29" s="44" t="s">
        <v>102</v>
      </c>
      <c r="J29" s="45" t="s">
        <v>103</v>
      </c>
      <c r="K29" s="44">
        <v>-2613</v>
      </c>
      <c r="L29" s="44" t="s">
        <v>104</v>
      </c>
      <c r="M29" s="45" t="s">
        <v>78</v>
      </c>
      <c r="N29" s="45"/>
      <c r="O29" s="46" t="s">
        <v>79</v>
      </c>
      <c r="P29" s="46" t="s">
        <v>80</v>
      </c>
    </row>
    <row r="30" spans="1:16" ht="12.75" customHeight="1" thickBot="1" x14ac:dyDescent="0.25">
      <c r="A30" s="9" t="str">
        <f t="shared" si="0"/>
        <v> HB 918.13 </v>
      </c>
      <c r="B30" s="14" t="str">
        <f t="shared" si="1"/>
        <v>I</v>
      </c>
      <c r="C30" s="9">
        <f t="shared" si="2"/>
        <v>23004.598999999998</v>
      </c>
      <c r="D30" s="11" t="str">
        <f t="shared" si="3"/>
        <v>vis</v>
      </c>
      <c r="E30" s="43">
        <f>VLOOKUP(C30,Active!C$21:E$965,3,FALSE)</f>
        <v>-2077.0087442458239</v>
      </c>
      <c r="F30" s="14" t="s">
        <v>72</v>
      </c>
      <c r="G30" s="11" t="str">
        <f t="shared" si="4"/>
        <v>23004.599</v>
      </c>
      <c r="H30" s="9">
        <f t="shared" si="5"/>
        <v>-2077</v>
      </c>
      <c r="I30" s="44" t="s">
        <v>105</v>
      </c>
      <c r="J30" s="45" t="s">
        <v>106</v>
      </c>
      <c r="K30" s="44">
        <v>-2077</v>
      </c>
      <c r="L30" s="44" t="s">
        <v>107</v>
      </c>
      <c r="M30" s="45" t="s">
        <v>78</v>
      </c>
      <c r="N30" s="45"/>
      <c r="O30" s="46" t="s">
        <v>79</v>
      </c>
      <c r="P30" s="46" t="s">
        <v>80</v>
      </c>
    </row>
    <row r="31" spans="1:16" ht="12.75" customHeight="1" thickBot="1" x14ac:dyDescent="0.25">
      <c r="A31" s="9" t="str">
        <f t="shared" si="0"/>
        <v> AN 253.199 </v>
      </c>
      <c r="B31" s="14" t="str">
        <f t="shared" si="1"/>
        <v>I</v>
      </c>
      <c r="C31" s="9">
        <f t="shared" si="2"/>
        <v>26217.58</v>
      </c>
      <c r="D31" s="11" t="str">
        <f t="shared" si="3"/>
        <v>vis</v>
      </c>
      <c r="E31" s="43">
        <f>VLOOKUP(C31,Active!C$21:E$965,3,FALSE)</f>
        <v>-871.00360640083488</v>
      </c>
      <c r="F31" s="14" t="s">
        <v>72</v>
      </c>
      <c r="G31" s="11" t="str">
        <f t="shared" si="4"/>
        <v>26217.580</v>
      </c>
      <c r="H31" s="9">
        <f t="shared" si="5"/>
        <v>-871</v>
      </c>
      <c r="I31" s="44" t="s">
        <v>108</v>
      </c>
      <c r="J31" s="45" t="s">
        <v>109</v>
      </c>
      <c r="K31" s="44">
        <v>-871</v>
      </c>
      <c r="L31" s="44" t="s">
        <v>110</v>
      </c>
      <c r="M31" s="45" t="s">
        <v>78</v>
      </c>
      <c r="N31" s="45"/>
      <c r="O31" s="46" t="s">
        <v>111</v>
      </c>
      <c r="P31" s="46" t="s">
        <v>112</v>
      </c>
    </row>
    <row r="32" spans="1:16" ht="12.75" customHeight="1" thickBot="1" x14ac:dyDescent="0.25">
      <c r="A32" s="9" t="str">
        <f t="shared" si="0"/>
        <v> AN 253.199 </v>
      </c>
      <c r="B32" s="14" t="str">
        <f t="shared" si="1"/>
        <v>I</v>
      </c>
      <c r="C32" s="9">
        <f t="shared" si="2"/>
        <v>26273.553</v>
      </c>
      <c r="D32" s="11" t="str">
        <f t="shared" si="3"/>
        <v>vis</v>
      </c>
      <c r="E32" s="43">
        <f>VLOOKUP(C32,Active!C$21:E$965,3,FALSE)</f>
        <v>-849.99391926586736</v>
      </c>
      <c r="F32" s="14" t="s">
        <v>72</v>
      </c>
      <c r="G32" s="11" t="str">
        <f t="shared" si="4"/>
        <v>26273.553</v>
      </c>
      <c r="H32" s="9">
        <f t="shared" si="5"/>
        <v>-850</v>
      </c>
      <c r="I32" s="44" t="s">
        <v>113</v>
      </c>
      <c r="J32" s="45" t="s">
        <v>114</v>
      </c>
      <c r="K32" s="44">
        <v>-850</v>
      </c>
      <c r="L32" s="44" t="s">
        <v>115</v>
      </c>
      <c r="M32" s="45" t="s">
        <v>78</v>
      </c>
      <c r="N32" s="45"/>
      <c r="O32" s="46" t="s">
        <v>111</v>
      </c>
      <c r="P32" s="46" t="s">
        <v>112</v>
      </c>
    </row>
    <row r="33" spans="1:16" ht="12.75" customHeight="1" thickBot="1" x14ac:dyDescent="0.25">
      <c r="A33" s="9" t="str">
        <f t="shared" si="0"/>
        <v> AN 253.199 </v>
      </c>
      <c r="B33" s="14" t="str">
        <f t="shared" si="1"/>
        <v>I</v>
      </c>
      <c r="C33" s="9">
        <f t="shared" si="2"/>
        <v>26955.562999999998</v>
      </c>
      <c r="D33" s="11" t="str">
        <f t="shared" si="3"/>
        <v>vis</v>
      </c>
      <c r="E33" s="43">
        <f>VLOOKUP(C33,Active!C$21:E$965,3,FALSE)</f>
        <v>-593.99876583618368</v>
      </c>
      <c r="F33" s="14" t="s">
        <v>72</v>
      </c>
      <c r="G33" s="11" t="str">
        <f t="shared" si="4"/>
        <v>26955.563</v>
      </c>
      <c r="H33" s="9">
        <f t="shared" si="5"/>
        <v>-594</v>
      </c>
      <c r="I33" s="44" t="s">
        <v>116</v>
      </c>
      <c r="J33" s="45" t="s">
        <v>117</v>
      </c>
      <c r="K33" s="44">
        <v>-594</v>
      </c>
      <c r="L33" s="44" t="s">
        <v>118</v>
      </c>
      <c r="M33" s="45" t="s">
        <v>78</v>
      </c>
      <c r="N33" s="45"/>
      <c r="O33" s="46" t="s">
        <v>111</v>
      </c>
      <c r="P33" s="46" t="s">
        <v>112</v>
      </c>
    </row>
    <row r="34" spans="1:16" ht="12.75" customHeight="1" thickBot="1" x14ac:dyDescent="0.25">
      <c r="A34" s="9" t="str">
        <f t="shared" si="0"/>
        <v> AN 253.199 </v>
      </c>
      <c r="B34" s="14" t="str">
        <f t="shared" si="1"/>
        <v>I</v>
      </c>
      <c r="C34" s="9">
        <f t="shared" si="2"/>
        <v>26979.517</v>
      </c>
      <c r="D34" s="11" t="str">
        <f t="shared" si="3"/>
        <v>vis</v>
      </c>
      <c r="E34" s="43">
        <f>VLOOKUP(C34,Active!C$21:E$965,3,FALSE)</f>
        <v>-585.007537107492</v>
      </c>
      <c r="F34" s="14" t="s">
        <v>72</v>
      </c>
      <c r="G34" s="11" t="str">
        <f t="shared" si="4"/>
        <v>26979.517</v>
      </c>
      <c r="H34" s="9">
        <f t="shared" si="5"/>
        <v>-585</v>
      </c>
      <c r="I34" s="44" t="s">
        <v>119</v>
      </c>
      <c r="J34" s="45" t="s">
        <v>120</v>
      </c>
      <c r="K34" s="44">
        <v>-585</v>
      </c>
      <c r="L34" s="44" t="s">
        <v>121</v>
      </c>
      <c r="M34" s="45" t="s">
        <v>78</v>
      </c>
      <c r="N34" s="45"/>
      <c r="O34" s="46" t="s">
        <v>111</v>
      </c>
      <c r="P34" s="46" t="s">
        <v>112</v>
      </c>
    </row>
    <row r="35" spans="1:16" ht="12.75" customHeight="1" thickBot="1" x14ac:dyDescent="0.25">
      <c r="A35" s="9" t="str">
        <f t="shared" si="0"/>
        <v> AN 277.41 </v>
      </c>
      <c r="B35" s="14" t="str">
        <f t="shared" si="1"/>
        <v>I</v>
      </c>
      <c r="C35" s="9">
        <f t="shared" si="2"/>
        <v>28924.358</v>
      </c>
      <c r="D35" s="11" t="str">
        <f t="shared" si="3"/>
        <v>vis</v>
      </c>
      <c r="E35" s="43">
        <f>VLOOKUP(C35,Active!C$21:E$965,3,FALSE)</f>
        <v>144.99623144625428</v>
      </c>
      <c r="F35" s="14" t="s">
        <v>72</v>
      </c>
      <c r="G35" s="11" t="str">
        <f t="shared" si="4"/>
        <v>28924.358</v>
      </c>
      <c r="H35" s="9">
        <f t="shared" si="5"/>
        <v>145</v>
      </c>
      <c r="I35" s="44" t="s">
        <v>122</v>
      </c>
      <c r="J35" s="45" t="s">
        <v>123</v>
      </c>
      <c r="K35" s="44">
        <v>145</v>
      </c>
      <c r="L35" s="44" t="s">
        <v>110</v>
      </c>
      <c r="M35" s="45" t="s">
        <v>124</v>
      </c>
      <c r="N35" s="45"/>
      <c r="O35" s="46" t="s">
        <v>125</v>
      </c>
      <c r="P35" s="46" t="s">
        <v>126</v>
      </c>
    </row>
    <row r="36" spans="1:16" ht="12.75" customHeight="1" thickBot="1" x14ac:dyDescent="0.25">
      <c r="A36" s="9" t="str">
        <f t="shared" si="0"/>
        <v> AN 277.41 </v>
      </c>
      <c r="B36" s="14" t="str">
        <f t="shared" si="1"/>
        <v>I</v>
      </c>
      <c r="C36" s="9">
        <f t="shared" si="2"/>
        <v>28948.435000000001</v>
      </c>
      <c r="D36" s="11" t="str">
        <f t="shared" si="3"/>
        <v>vis</v>
      </c>
      <c r="E36" s="43">
        <f>VLOOKUP(C36,Active!C$21:E$965,3,FALSE)</f>
        <v>154.03362871187619</v>
      </c>
      <c r="F36" s="14" t="s">
        <v>72</v>
      </c>
      <c r="G36" s="11" t="str">
        <f t="shared" si="4"/>
        <v>28948.435</v>
      </c>
      <c r="H36" s="9">
        <f t="shared" si="5"/>
        <v>154</v>
      </c>
      <c r="I36" s="44" t="s">
        <v>127</v>
      </c>
      <c r="J36" s="45" t="s">
        <v>128</v>
      </c>
      <c r="K36" s="44">
        <v>154</v>
      </c>
      <c r="L36" s="44" t="s">
        <v>129</v>
      </c>
      <c r="M36" s="45" t="s">
        <v>124</v>
      </c>
      <c r="N36" s="45"/>
      <c r="O36" s="46" t="s">
        <v>125</v>
      </c>
      <c r="P36" s="46" t="s">
        <v>126</v>
      </c>
    </row>
    <row r="37" spans="1:16" ht="12.75" customHeight="1" thickBot="1" x14ac:dyDescent="0.25">
      <c r="A37" s="9" t="str">
        <f t="shared" si="0"/>
        <v> AN 277.41 </v>
      </c>
      <c r="B37" s="14" t="str">
        <f t="shared" si="1"/>
        <v>I</v>
      </c>
      <c r="C37" s="9">
        <f t="shared" si="2"/>
        <v>28956.329000000002</v>
      </c>
      <c r="D37" s="11" t="str">
        <f t="shared" si="3"/>
        <v>vis</v>
      </c>
      <c r="E37" s="43">
        <f>VLOOKUP(C37,Active!C$21:E$965,3,FALSE)</f>
        <v>156.99667286251034</v>
      </c>
      <c r="F37" s="14" t="s">
        <v>72</v>
      </c>
      <c r="G37" s="11" t="str">
        <f t="shared" si="4"/>
        <v>28956.329</v>
      </c>
      <c r="H37" s="9">
        <f t="shared" si="5"/>
        <v>157</v>
      </c>
      <c r="I37" s="44" t="s">
        <v>130</v>
      </c>
      <c r="J37" s="45" t="s">
        <v>131</v>
      </c>
      <c r="K37" s="44">
        <v>157</v>
      </c>
      <c r="L37" s="44" t="s">
        <v>132</v>
      </c>
      <c r="M37" s="45" t="s">
        <v>124</v>
      </c>
      <c r="N37" s="45"/>
      <c r="O37" s="46" t="s">
        <v>125</v>
      </c>
      <c r="P37" s="46" t="s">
        <v>126</v>
      </c>
    </row>
    <row r="38" spans="1:16" ht="12.75" customHeight="1" thickBot="1" x14ac:dyDescent="0.25">
      <c r="A38" s="9" t="str">
        <f t="shared" si="0"/>
        <v> AN 277.41 </v>
      </c>
      <c r="B38" s="14" t="str">
        <f t="shared" si="1"/>
        <v>I</v>
      </c>
      <c r="C38" s="9">
        <f t="shared" si="2"/>
        <v>28964.322</v>
      </c>
      <c r="D38" s="11" t="str">
        <f t="shared" si="3"/>
        <v>vis</v>
      </c>
      <c r="E38" s="43">
        <f>VLOOKUP(C38,Active!C$21:E$965,3,FALSE)</f>
        <v>159.99687705506338</v>
      </c>
      <c r="F38" s="14" t="s">
        <v>72</v>
      </c>
      <c r="G38" s="11" t="str">
        <f t="shared" si="4"/>
        <v>28964.322</v>
      </c>
      <c r="H38" s="9">
        <f t="shared" si="5"/>
        <v>160</v>
      </c>
      <c r="I38" s="44" t="s">
        <v>133</v>
      </c>
      <c r="J38" s="45" t="s">
        <v>134</v>
      </c>
      <c r="K38" s="44">
        <v>160</v>
      </c>
      <c r="L38" s="44" t="s">
        <v>135</v>
      </c>
      <c r="M38" s="45" t="s">
        <v>124</v>
      </c>
      <c r="N38" s="45"/>
      <c r="O38" s="46" t="s">
        <v>125</v>
      </c>
      <c r="P38" s="46" t="s">
        <v>126</v>
      </c>
    </row>
    <row r="39" spans="1:16" ht="12.75" customHeight="1" thickBot="1" x14ac:dyDescent="0.25">
      <c r="A39" s="9" t="str">
        <f t="shared" si="0"/>
        <v> HB 918.13 </v>
      </c>
      <c r="B39" s="14" t="str">
        <f t="shared" si="1"/>
        <v>I</v>
      </c>
      <c r="C39" s="9">
        <f t="shared" si="2"/>
        <v>29230.746999999999</v>
      </c>
      <c r="D39" s="11" t="str">
        <f t="shared" si="3"/>
        <v>vis</v>
      </c>
      <c r="E39" s="43">
        <f>VLOOKUP(C39,Active!C$21:E$965,3,FALSE)</f>
        <v>260.00055552385919</v>
      </c>
      <c r="F39" s="14" t="s">
        <v>72</v>
      </c>
      <c r="G39" s="11" t="str">
        <f t="shared" si="4"/>
        <v>29230.747</v>
      </c>
      <c r="H39" s="9">
        <f t="shared" si="5"/>
        <v>260</v>
      </c>
      <c r="I39" s="44" t="s">
        <v>136</v>
      </c>
      <c r="J39" s="45" t="s">
        <v>137</v>
      </c>
      <c r="K39" s="44">
        <v>260</v>
      </c>
      <c r="L39" s="44" t="s">
        <v>138</v>
      </c>
      <c r="M39" s="45" t="s">
        <v>78</v>
      </c>
      <c r="N39" s="45"/>
      <c r="O39" s="46" t="s">
        <v>79</v>
      </c>
      <c r="P39" s="46" t="s">
        <v>80</v>
      </c>
    </row>
    <row r="40" spans="1:16" ht="12.75" customHeight="1" thickBot="1" x14ac:dyDescent="0.25">
      <c r="A40" s="9" t="str">
        <f t="shared" si="0"/>
        <v> HB 918.13 </v>
      </c>
      <c r="B40" s="14" t="str">
        <f t="shared" si="1"/>
        <v>I</v>
      </c>
      <c r="C40" s="9">
        <f t="shared" si="2"/>
        <v>29571.773000000001</v>
      </c>
      <c r="D40" s="11" t="str">
        <f t="shared" si="3"/>
        <v>vis</v>
      </c>
      <c r="E40" s="43">
        <f>VLOOKUP(C40,Active!C$21:E$965,3,FALSE)</f>
        <v>388.00601467183634</v>
      </c>
      <c r="F40" s="14" t="s">
        <v>72</v>
      </c>
      <c r="G40" s="11" t="str">
        <f t="shared" si="4"/>
        <v>29571.773</v>
      </c>
      <c r="H40" s="9">
        <f t="shared" si="5"/>
        <v>388</v>
      </c>
      <c r="I40" s="44" t="s">
        <v>139</v>
      </c>
      <c r="J40" s="45" t="s">
        <v>140</v>
      </c>
      <c r="K40" s="44">
        <v>388</v>
      </c>
      <c r="L40" s="44" t="s">
        <v>115</v>
      </c>
      <c r="M40" s="45" t="s">
        <v>78</v>
      </c>
      <c r="N40" s="45"/>
      <c r="O40" s="46" t="s">
        <v>79</v>
      </c>
      <c r="P40" s="46" t="s">
        <v>80</v>
      </c>
    </row>
    <row r="41" spans="1:16" ht="12.75" customHeight="1" thickBot="1" x14ac:dyDescent="0.25">
      <c r="A41" s="9" t="str">
        <f t="shared" si="0"/>
        <v> HB 918.13 </v>
      </c>
      <c r="B41" s="14" t="str">
        <f t="shared" si="1"/>
        <v>I</v>
      </c>
      <c r="C41" s="9">
        <f t="shared" si="2"/>
        <v>29571.815999999999</v>
      </c>
      <c r="D41" s="11" t="str">
        <f t="shared" si="3"/>
        <v>vis</v>
      </c>
      <c r="E41" s="43">
        <f>VLOOKUP(C41,Active!C$21:E$965,3,FALSE)</f>
        <v>388.02215489206321</v>
      </c>
      <c r="F41" s="14" t="s">
        <v>72</v>
      </c>
      <c r="G41" s="11" t="str">
        <f t="shared" si="4"/>
        <v>29571.816</v>
      </c>
      <c r="H41" s="9">
        <f t="shared" si="5"/>
        <v>388</v>
      </c>
      <c r="I41" s="44" t="s">
        <v>141</v>
      </c>
      <c r="J41" s="45" t="s">
        <v>142</v>
      </c>
      <c r="K41" s="44">
        <v>388</v>
      </c>
      <c r="L41" s="44" t="s">
        <v>143</v>
      </c>
      <c r="M41" s="45" t="s">
        <v>78</v>
      </c>
      <c r="N41" s="45"/>
      <c r="O41" s="46" t="s">
        <v>79</v>
      </c>
      <c r="P41" s="46" t="s">
        <v>80</v>
      </c>
    </row>
    <row r="42" spans="1:16" ht="12.75" customHeight="1" thickBot="1" x14ac:dyDescent="0.25">
      <c r="A42" s="9" t="str">
        <f t="shared" si="0"/>
        <v> HA 113.74 </v>
      </c>
      <c r="B42" s="14" t="str">
        <f t="shared" si="1"/>
        <v>I</v>
      </c>
      <c r="C42" s="9">
        <f t="shared" si="2"/>
        <v>29763.91</v>
      </c>
      <c r="D42" s="11" t="str">
        <f t="shared" si="3"/>
        <v>vis</v>
      </c>
      <c r="E42" s="43">
        <f>VLOOKUP(C42,Active!C$21:E$965,3,FALSE)</f>
        <v>460.12539825055063</v>
      </c>
      <c r="F42" s="14" t="s">
        <v>72</v>
      </c>
      <c r="G42" s="11" t="str">
        <f t="shared" si="4"/>
        <v>29763.910</v>
      </c>
      <c r="H42" s="9">
        <f t="shared" si="5"/>
        <v>460</v>
      </c>
      <c r="I42" s="44" t="s">
        <v>144</v>
      </c>
      <c r="J42" s="45" t="s">
        <v>145</v>
      </c>
      <c r="K42" s="44">
        <v>460</v>
      </c>
      <c r="L42" s="44" t="s">
        <v>146</v>
      </c>
      <c r="M42" s="45" t="s">
        <v>74</v>
      </c>
      <c r="N42" s="45"/>
      <c r="O42" s="46" t="s">
        <v>79</v>
      </c>
      <c r="P42" s="46" t="s">
        <v>147</v>
      </c>
    </row>
    <row r="43" spans="1:16" ht="12.75" customHeight="1" thickBot="1" x14ac:dyDescent="0.25">
      <c r="A43" s="9" t="str">
        <f t="shared" ref="A43:A72" si="6">P43</f>
        <v> HB 918.13 </v>
      </c>
      <c r="B43" s="14" t="str">
        <f t="shared" ref="B43:B72" si="7">IF(H43=INT(H43),"I","II")</f>
        <v>I</v>
      </c>
      <c r="C43" s="9">
        <f t="shared" ref="C43:C72" si="8">1*G43</f>
        <v>29896.814999999999</v>
      </c>
      <c r="D43" s="11" t="str">
        <f t="shared" ref="D43:D72" si="9">VLOOKUP(F43,I$1:J$5,2,FALSE)</f>
        <v>vis</v>
      </c>
      <c r="E43" s="43">
        <f>VLOOKUP(C43,Active!C$21:E$965,3,FALSE)</f>
        <v>510.01181614262242</v>
      </c>
      <c r="F43" s="14" t="s">
        <v>72</v>
      </c>
      <c r="G43" s="11" t="str">
        <f t="shared" ref="G43:G72" si="10">MID(I43,3,LEN(I43)-3)</f>
        <v>29896.815</v>
      </c>
      <c r="H43" s="9">
        <f t="shared" ref="H43:H72" si="11">1*K43</f>
        <v>510</v>
      </c>
      <c r="I43" s="44" t="s">
        <v>148</v>
      </c>
      <c r="J43" s="45" t="s">
        <v>149</v>
      </c>
      <c r="K43" s="44">
        <v>510</v>
      </c>
      <c r="L43" s="44" t="s">
        <v>86</v>
      </c>
      <c r="M43" s="45" t="s">
        <v>78</v>
      </c>
      <c r="N43" s="45"/>
      <c r="O43" s="46" t="s">
        <v>79</v>
      </c>
      <c r="P43" s="46" t="s">
        <v>80</v>
      </c>
    </row>
    <row r="44" spans="1:16" ht="12.75" customHeight="1" thickBot="1" x14ac:dyDescent="0.25">
      <c r="A44" s="9" t="str">
        <f t="shared" si="6"/>
        <v> HB 918.13 </v>
      </c>
      <c r="B44" s="14" t="str">
        <f t="shared" si="7"/>
        <v>I</v>
      </c>
      <c r="C44" s="9">
        <f t="shared" si="8"/>
        <v>29912.778999999999</v>
      </c>
      <c r="D44" s="11" t="str">
        <f t="shared" si="9"/>
        <v>vis</v>
      </c>
      <c r="E44" s="43">
        <f>VLOOKUP(C44,Active!C$21:E$965,3,FALSE)</f>
        <v>516.00396674063632</v>
      </c>
      <c r="F44" s="14" t="s">
        <v>72</v>
      </c>
      <c r="G44" s="11" t="str">
        <f t="shared" si="10"/>
        <v>29912.779</v>
      </c>
      <c r="H44" s="9">
        <f t="shared" si="11"/>
        <v>516</v>
      </c>
      <c r="I44" s="44" t="s">
        <v>150</v>
      </c>
      <c r="J44" s="45" t="s">
        <v>151</v>
      </c>
      <c r="K44" s="44">
        <v>516</v>
      </c>
      <c r="L44" s="44" t="s">
        <v>152</v>
      </c>
      <c r="M44" s="45" t="s">
        <v>78</v>
      </c>
      <c r="N44" s="45"/>
      <c r="O44" s="46" t="s">
        <v>79</v>
      </c>
      <c r="P44" s="46" t="s">
        <v>80</v>
      </c>
    </row>
    <row r="45" spans="1:16" ht="12.75" customHeight="1" thickBot="1" x14ac:dyDescent="0.25">
      <c r="A45" s="9" t="str">
        <f t="shared" si="6"/>
        <v> HB 918.13 </v>
      </c>
      <c r="B45" s="14" t="str">
        <f t="shared" si="7"/>
        <v>I</v>
      </c>
      <c r="C45" s="9">
        <f t="shared" si="8"/>
        <v>29952.778999999999</v>
      </c>
      <c r="D45" s="11" t="str">
        <f t="shared" si="9"/>
        <v>vis</v>
      </c>
      <c r="E45" s="43">
        <f>VLOOKUP(C45,Active!C$21:E$965,3,FALSE)</f>
        <v>531.01812509196156</v>
      </c>
      <c r="F45" s="14" t="s">
        <v>72</v>
      </c>
      <c r="G45" s="11" t="str">
        <f t="shared" si="10"/>
        <v>29952.779</v>
      </c>
      <c r="H45" s="9">
        <f t="shared" si="11"/>
        <v>531</v>
      </c>
      <c r="I45" s="44" t="s">
        <v>153</v>
      </c>
      <c r="J45" s="45" t="s">
        <v>154</v>
      </c>
      <c r="K45" s="44">
        <v>531</v>
      </c>
      <c r="L45" s="44" t="s">
        <v>155</v>
      </c>
      <c r="M45" s="45" t="s">
        <v>78</v>
      </c>
      <c r="N45" s="45"/>
      <c r="O45" s="46" t="s">
        <v>79</v>
      </c>
      <c r="P45" s="46" t="s">
        <v>80</v>
      </c>
    </row>
    <row r="46" spans="1:16" ht="12.75" customHeight="1" thickBot="1" x14ac:dyDescent="0.25">
      <c r="A46" s="9" t="str">
        <f t="shared" si="6"/>
        <v> HB 918.13 </v>
      </c>
      <c r="B46" s="14" t="str">
        <f t="shared" si="7"/>
        <v>I</v>
      </c>
      <c r="C46" s="9">
        <f t="shared" si="8"/>
        <v>30293.749</v>
      </c>
      <c r="D46" s="11" t="str">
        <f t="shared" si="9"/>
        <v>vis</v>
      </c>
      <c r="E46" s="43">
        <f>VLOOKUP(C46,Active!C$21:E$965,3,FALSE)</f>
        <v>659.00256441824672</v>
      </c>
      <c r="F46" s="14" t="s">
        <v>72</v>
      </c>
      <c r="G46" s="11" t="str">
        <f t="shared" si="10"/>
        <v>30293.749</v>
      </c>
      <c r="H46" s="9">
        <f t="shared" si="11"/>
        <v>659</v>
      </c>
      <c r="I46" s="44" t="s">
        <v>156</v>
      </c>
      <c r="J46" s="45" t="s">
        <v>157</v>
      </c>
      <c r="K46" s="44">
        <v>659</v>
      </c>
      <c r="L46" s="44" t="s">
        <v>158</v>
      </c>
      <c r="M46" s="45" t="s">
        <v>78</v>
      </c>
      <c r="N46" s="45"/>
      <c r="O46" s="46" t="s">
        <v>79</v>
      </c>
      <c r="P46" s="46" t="s">
        <v>80</v>
      </c>
    </row>
    <row r="47" spans="1:16" ht="12.75" customHeight="1" thickBot="1" x14ac:dyDescent="0.25">
      <c r="A47" s="9" t="str">
        <f t="shared" si="6"/>
        <v> HB 918.13 </v>
      </c>
      <c r="B47" s="14" t="str">
        <f t="shared" si="7"/>
        <v>I</v>
      </c>
      <c r="C47" s="9">
        <f t="shared" si="8"/>
        <v>30325.673999999999</v>
      </c>
      <c r="D47" s="11" t="str">
        <f t="shared" si="9"/>
        <v>vis</v>
      </c>
      <c r="E47" s="43">
        <f>VLOOKUP(C47,Active!C$21:E$965,3,FALSE)</f>
        <v>670.98573955239794</v>
      </c>
      <c r="F47" s="14" t="s">
        <v>72</v>
      </c>
      <c r="G47" s="11" t="str">
        <f t="shared" si="10"/>
        <v>30325.674</v>
      </c>
      <c r="H47" s="9">
        <f t="shared" si="11"/>
        <v>671</v>
      </c>
      <c r="I47" s="44" t="s">
        <v>159</v>
      </c>
      <c r="J47" s="45" t="s">
        <v>160</v>
      </c>
      <c r="K47" s="44">
        <v>671</v>
      </c>
      <c r="L47" s="44" t="s">
        <v>161</v>
      </c>
      <c r="M47" s="45" t="s">
        <v>78</v>
      </c>
      <c r="N47" s="45"/>
      <c r="O47" s="46" t="s">
        <v>79</v>
      </c>
      <c r="P47" s="46" t="s">
        <v>80</v>
      </c>
    </row>
    <row r="48" spans="1:16" ht="12.75" customHeight="1" thickBot="1" x14ac:dyDescent="0.25">
      <c r="A48" s="9" t="str">
        <f t="shared" si="6"/>
        <v> HB 918.13 </v>
      </c>
      <c r="B48" s="14" t="str">
        <f t="shared" si="7"/>
        <v>I</v>
      </c>
      <c r="C48" s="9">
        <f t="shared" si="8"/>
        <v>31055.696</v>
      </c>
      <c r="D48" s="11" t="str">
        <f t="shared" si="9"/>
        <v>vis</v>
      </c>
      <c r="E48" s="43">
        <f>VLOOKUP(C48,Active!C$21:E$965,3,FALSE)</f>
        <v>945.00238725117822</v>
      </c>
      <c r="F48" s="14" t="s">
        <v>72</v>
      </c>
      <c r="G48" s="11" t="str">
        <f t="shared" si="10"/>
        <v>31055.696</v>
      </c>
      <c r="H48" s="9">
        <f t="shared" si="11"/>
        <v>945</v>
      </c>
      <c r="I48" s="44" t="s">
        <v>162</v>
      </c>
      <c r="J48" s="45" t="s">
        <v>163</v>
      </c>
      <c r="K48" s="44">
        <v>945</v>
      </c>
      <c r="L48" s="44" t="s">
        <v>98</v>
      </c>
      <c r="M48" s="45" t="s">
        <v>78</v>
      </c>
      <c r="N48" s="45"/>
      <c r="O48" s="46" t="s">
        <v>79</v>
      </c>
      <c r="P48" s="46" t="s">
        <v>80</v>
      </c>
    </row>
    <row r="49" spans="1:16" ht="12.75" customHeight="1" thickBot="1" x14ac:dyDescent="0.25">
      <c r="A49" s="9" t="str">
        <f t="shared" si="6"/>
        <v> AC 62.9 </v>
      </c>
      <c r="B49" s="14" t="str">
        <f t="shared" si="7"/>
        <v>I</v>
      </c>
      <c r="C49" s="9">
        <f t="shared" si="8"/>
        <v>32230.591</v>
      </c>
      <c r="D49" s="11" t="str">
        <f t="shared" si="9"/>
        <v>vis</v>
      </c>
      <c r="E49" s="43">
        <f>VLOOKUP(C49,Active!C$21:E$965,3,FALSE)</f>
        <v>1386.0038766556868</v>
      </c>
      <c r="F49" s="14" t="s">
        <v>72</v>
      </c>
      <c r="G49" s="11" t="str">
        <f t="shared" si="10"/>
        <v>32230.591</v>
      </c>
      <c r="H49" s="9">
        <f t="shared" si="11"/>
        <v>1386</v>
      </c>
      <c r="I49" s="44" t="s">
        <v>164</v>
      </c>
      <c r="J49" s="45" t="s">
        <v>165</v>
      </c>
      <c r="K49" s="44">
        <v>1386</v>
      </c>
      <c r="L49" s="44" t="s">
        <v>166</v>
      </c>
      <c r="M49" s="45" t="s">
        <v>124</v>
      </c>
      <c r="N49" s="45"/>
      <c r="O49" s="46" t="s">
        <v>167</v>
      </c>
      <c r="P49" s="46" t="s">
        <v>168</v>
      </c>
    </row>
    <row r="50" spans="1:16" ht="12.75" customHeight="1" thickBot="1" x14ac:dyDescent="0.25">
      <c r="A50" s="9" t="str">
        <f t="shared" si="6"/>
        <v> BTOK 30.278 </v>
      </c>
      <c r="B50" s="14" t="str">
        <f t="shared" si="7"/>
        <v>I</v>
      </c>
      <c r="C50" s="9">
        <f t="shared" si="8"/>
        <v>33298.834000000003</v>
      </c>
      <c r="D50" s="11" t="str">
        <f t="shared" si="9"/>
        <v>vis</v>
      </c>
      <c r="E50" s="43">
        <f>VLOOKUP(C50,Active!C$21:E$965,3,FALSE)</f>
        <v>1786.9731156480575</v>
      </c>
      <c r="F50" s="14" t="s">
        <v>72</v>
      </c>
      <c r="G50" s="11" t="str">
        <f t="shared" si="10"/>
        <v>33298.834</v>
      </c>
      <c r="H50" s="9">
        <f t="shared" si="11"/>
        <v>1787</v>
      </c>
      <c r="I50" s="44" t="s">
        <v>169</v>
      </c>
      <c r="J50" s="45" t="s">
        <v>170</v>
      </c>
      <c r="K50" s="44">
        <v>1787</v>
      </c>
      <c r="L50" s="44" t="s">
        <v>171</v>
      </c>
      <c r="M50" s="45" t="s">
        <v>74</v>
      </c>
      <c r="N50" s="45"/>
      <c r="O50" s="46" t="s">
        <v>172</v>
      </c>
      <c r="P50" s="46" t="s">
        <v>173</v>
      </c>
    </row>
    <row r="51" spans="1:16" ht="12.75" customHeight="1" thickBot="1" x14ac:dyDescent="0.25">
      <c r="A51" s="9" t="str">
        <f t="shared" si="6"/>
        <v> BTAD 35.33 </v>
      </c>
      <c r="B51" s="14" t="str">
        <f t="shared" si="7"/>
        <v>I</v>
      </c>
      <c r="C51" s="9">
        <f t="shared" si="8"/>
        <v>33597.292999999998</v>
      </c>
      <c r="D51" s="11" t="str">
        <f t="shared" si="9"/>
        <v>vis</v>
      </c>
      <c r="E51" s="43">
        <f>VLOOKUP(C51,Active!C$21:E$965,3,FALSE)</f>
        <v>1899.0008828325106</v>
      </c>
      <c r="F51" s="14" t="s">
        <v>72</v>
      </c>
      <c r="G51" s="11" t="str">
        <f t="shared" si="10"/>
        <v>33597.293</v>
      </c>
      <c r="H51" s="9">
        <f t="shared" si="11"/>
        <v>1899</v>
      </c>
      <c r="I51" s="44" t="s">
        <v>174</v>
      </c>
      <c r="J51" s="45" t="s">
        <v>175</v>
      </c>
      <c r="K51" s="44">
        <v>1899</v>
      </c>
      <c r="L51" s="44" t="s">
        <v>176</v>
      </c>
      <c r="M51" s="45" t="s">
        <v>78</v>
      </c>
      <c r="N51" s="45"/>
      <c r="O51" s="46" t="s">
        <v>177</v>
      </c>
      <c r="P51" s="46" t="s">
        <v>178</v>
      </c>
    </row>
    <row r="52" spans="1:16" ht="12.75" customHeight="1" thickBot="1" x14ac:dyDescent="0.25">
      <c r="A52" s="9" t="str">
        <f t="shared" si="6"/>
        <v> BTOK 49.385 </v>
      </c>
      <c r="B52" s="14" t="str">
        <f t="shared" si="7"/>
        <v>I</v>
      </c>
      <c r="C52" s="9">
        <f t="shared" si="8"/>
        <v>33647.809000000001</v>
      </c>
      <c r="D52" s="11" t="str">
        <f t="shared" si="9"/>
        <v>vis</v>
      </c>
      <c r="E52" s="43">
        <f>VLOOKUP(C52,Active!C$21:E$965,3,FALSE)</f>
        <v>1917.9622634144005</v>
      </c>
      <c r="F52" s="14" t="s">
        <v>72</v>
      </c>
      <c r="G52" s="11" t="str">
        <f t="shared" si="10"/>
        <v>33647.809</v>
      </c>
      <c r="H52" s="9">
        <f t="shared" si="11"/>
        <v>1918</v>
      </c>
      <c r="I52" s="44" t="s">
        <v>179</v>
      </c>
      <c r="J52" s="45" t="s">
        <v>180</v>
      </c>
      <c r="K52" s="44">
        <v>1918</v>
      </c>
      <c r="L52" s="44" t="s">
        <v>181</v>
      </c>
      <c r="M52" s="45" t="s">
        <v>74</v>
      </c>
      <c r="N52" s="45"/>
      <c r="O52" s="46" t="s">
        <v>172</v>
      </c>
      <c r="P52" s="46" t="s">
        <v>182</v>
      </c>
    </row>
    <row r="53" spans="1:16" ht="12.75" customHeight="1" thickBot="1" x14ac:dyDescent="0.25">
      <c r="A53" s="9" t="str">
        <f t="shared" si="6"/>
        <v> AJ 65.145 </v>
      </c>
      <c r="B53" s="14" t="str">
        <f t="shared" si="7"/>
        <v>I</v>
      </c>
      <c r="C53" s="9">
        <f t="shared" si="8"/>
        <v>35432.894</v>
      </c>
      <c r="D53" s="11" t="str">
        <f t="shared" si="9"/>
        <v>vis</v>
      </c>
      <c r="E53" s="43">
        <f>VLOOKUP(C53,Active!C$21:E$965,3,FALSE)</f>
        <v>2588.0009849287881</v>
      </c>
      <c r="F53" s="14" t="s">
        <v>72</v>
      </c>
      <c r="G53" s="11" t="str">
        <f t="shared" si="10"/>
        <v>35432.894</v>
      </c>
      <c r="H53" s="9">
        <f t="shared" si="11"/>
        <v>2588</v>
      </c>
      <c r="I53" s="44" t="s">
        <v>183</v>
      </c>
      <c r="J53" s="45" t="s">
        <v>184</v>
      </c>
      <c r="K53" s="44">
        <v>2588</v>
      </c>
      <c r="L53" s="44" t="s">
        <v>118</v>
      </c>
      <c r="M53" s="45" t="s">
        <v>185</v>
      </c>
      <c r="N53" s="45" t="s">
        <v>186</v>
      </c>
      <c r="O53" s="46" t="s">
        <v>187</v>
      </c>
      <c r="P53" s="46" t="s">
        <v>188</v>
      </c>
    </row>
    <row r="54" spans="1:16" ht="12.75" customHeight="1" thickBot="1" x14ac:dyDescent="0.25">
      <c r="A54" s="9" t="str">
        <f t="shared" si="6"/>
        <v> AJ 65.145 </v>
      </c>
      <c r="B54" s="14" t="str">
        <f t="shared" si="7"/>
        <v>I</v>
      </c>
      <c r="C54" s="9">
        <f t="shared" si="8"/>
        <v>35456.868000000002</v>
      </c>
      <c r="D54" s="11" t="str">
        <f t="shared" si="9"/>
        <v>vis</v>
      </c>
      <c r="E54" s="43">
        <f>VLOOKUP(C54,Active!C$21:E$965,3,FALSE)</f>
        <v>2596.9997207366559</v>
      </c>
      <c r="F54" s="14" t="s">
        <v>72</v>
      </c>
      <c r="G54" s="11" t="str">
        <f t="shared" si="10"/>
        <v>35456.868</v>
      </c>
      <c r="H54" s="9">
        <f t="shared" si="11"/>
        <v>2597</v>
      </c>
      <c r="I54" s="44" t="s">
        <v>189</v>
      </c>
      <c r="J54" s="45" t="s">
        <v>190</v>
      </c>
      <c r="K54" s="44">
        <v>2597</v>
      </c>
      <c r="L54" s="44" t="s">
        <v>191</v>
      </c>
      <c r="M54" s="45" t="s">
        <v>185</v>
      </c>
      <c r="N54" s="45" t="s">
        <v>186</v>
      </c>
      <c r="O54" s="46" t="s">
        <v>187</v>
      </c>
      <c r="P54" s="46" t="s">
        <v>188</v>
      </c>
    </row>
    <row r="55" spans="1:16" ht="12.75" customHeight="1" thickBot="1" x14ac:dyDescent="0.25">
      <c r="A55" s="9" t="str">
        <f t="shared" si="6"/>
        <v> BTAD 35.33 </v>
      </c>
      <c r="B55" s="14" t="str">
        <f t="shared" si="7"/>
        <v>I</v>
      </c>
      <c r="C55" s="9">
        <f t="shared" si="8"/>
        <v>35478.186999999998</v>
      </c>
      <c r="D55" s="11" t="str">
        <f t="shared" si="9"/>
        <v>vis</v>
      </c>
      <c r="E55" s="43">
        <f>VLOOKUP(C55,Active!C$21:E$965,3,FALSE)</f>
        <v>2605.001891783952</v>
      </c>
      <c r="F55" s="14" t="s">
        <v>72</v>
      </c>
      <c r="G55" s="11" t="str">
        <f t="shared" si="10"/>
        <v>35478.187</v>
      </c>
      <c r="H55" s="9">
        <f t="shared" si="11"/>
        <v>2605</v>
      </c>
      <c r="I55" s="44" t="s">
        <v>192</v>
      </c>
      <c r="J55" s="45" t="s">
        <v>193</v>
      </c>
      <c r="K55" s="44">
        <v>2605</v>
      </c>
      <c r="L55" s="44" t="s">
        <v>194</v>
      </c>
      <c r="M55" s="45" t="s">
        <v>78</v>
      </c>
      <c r="N55" s="45"/>
      <c r="O55" s="46" t="s">
        <v>177</v>
      </c>
      <c r="P55" s="46" t="s">
        <v>178</v>
      </c>
    </row>
    <row r="56" spans="1:16" ht="12.75" customHeight="1" thickBot="1" x14ac:dyDescent="0.25">
      <c r="A56" s="9" t="str">
        <f t="shared" si="6"/>
        <v> BTAD 35.33 </v>
      </c>
      <c r="B56" s="14" t="str">
        <f t="shared" si="7"/>
        <v>I</v>
      </c>
      <c r="C56" s="9">
        <f t="shared" si="8"/>
        <v>35510.167000000001</v>
      </c>
      <c r="D56" s="11" t="str">
        <f t="shared" si="9"/>
        <v>vis</v>
      </c>
      <c r="E56" s="43">
        <f>VLOOKUP(C56,Active!C$21:E$965,3,FALSE)</f>
        <v>2617.0057113858375</v>
      </c>
      <c r="F56" s="14" t="s">
        <v>72</v>
      </c>
      <c r="G56" s="11" t="str">
        <f t="shared" si="10"/>
        <v>35510.167</v>
      </c>
      <c r="H56" s="9">
        <f t="shared" si="11"/>
        <v>2617</v>
      </c>
      <c r="I56" s="44" t="s">
        <v>195</v>
      </c>
      <c r="J56" s="45" t="s">
        <v>196</v>
      </c>
      <c r="K56" s="44">
        <v>2617</v>
      </c>
      <c r="L56" s="44" t="s">
        <v>197</v>
      </c>
      <c r="M56" s="45" t="s">
        <v>78</v>
      </c>
      <c r="N56" s="45"/>
      <c r="O56" s="46" t="s">
        <v>177</v>
      </c>
      <c r="P56" s="46" t="s">
        <v>178</v>
      </c>
    </row>
    <row r="57" spans="1:16" ht="12.75" customHeight="1" thickBot="1" x14ac:dyDescent="0.25">
      <c r="A57" s="9" t="str">
        <f t="shared" si="6"/>
        <v> BTAD 35.33 </v>
      </c>
      <c r="B57" s="14" t="str">
        <f t="shared" si="7"/>
        <v>I</v>
      </c>
      <c r="C57" s="9">
        <f t="shared" si="8"/>
        <v>35542.137999999999</v>
      </c>
      <c r="D57" s="11" t="str">
        <f t="shared" si="9"/>
        <v>vis</v>
      </c>
      <c r="E57" s="43">
        <f>VLOOKUP(C57,Active!C$21:E$965,3,FALSE)</f>
        <v>2629.0061528020924</v>
      </c>
      <c r="F57" s="14" t="s">
        <v>72</v>
      </c>
      <c r="G57" s="11" t="str">
        <f t="shared" si="10"/>
        <v>35542.138</v>
      </c>
      <c r="H57" s="9">
        <f t="shared" si="11"/>
        <v>2629</v>
      </c>
      <c r="I57" s="44" t="s">
        <v>198</v>
      </c>
      <c r="J57" s="45" t="s">
        <v>199</v>
      </c>
      <c r="K57" s="44">
        <v>2629</v>
      </c>
      <c r="L57" s="44" t="s">
        <v>115</v>
      </c>
      <c r="M57" s="45" t="s">
        <v>78</v>
      </c>
      <c r="N57" s="45"/>
      <c r="O57" s="46" t="s">
        <v>177</v>
      </c>
      <c r="P57" s="46" t="s">
        <v>178</v>
      </c>
    </row>
    <row r="58" spans="1:16" ht="12.75" customHeight="1" thickBot="1" x14ac:dyDescent="0.25">
      <c r="A58" s="9" t="str">
        <f t="shared" si="6"/>
        <v> AJ 65.145 </v>
      </c>
      <c r="B58" s="14" t="str">
        <f t="shared" si="7"/>
        <v>I</v>
      </c>
      <c r="C58" s="9">
        <f t="shared" si="8"/>
        <v>35765.910199999998</v>
      </c>
      <c r="D58" s="11" t="str">
        <f t="shared" si="9"/>
        <v>vis</v>
      </c>
      <c r="E58" s="43">
        <f>VLOOKUP(C58,Active!C$21:E$965,3,FALSE)</f>
        <v>2712.9999339377032</v>
      </c>
      <c r="F58" s="14" t="s">
        <v>72</v>
      </c>
      <c r="G58" s="11" t="str">
        <f t="shared" si="10"/>
        <v>35765.9102</v>
      </c>
      <c r="H58" s="9">
        <f t="shared" si="11"/>
        <v>2713</v>
      </c>
      <c r="I58" s="44" t="s">
        <v>200</v>
      </c>
      <c r="J58" s="45" t="s">
        <v>201</v>
      </c>
      <c r="K58" s="44">
        <v>2713</v>
      </c>
      <c r="L58" s="44" t="s">
        <v>202</v>
      </c>
      <c r="M58" s="45" t="s">
        <v>185</v>
      </c>
      <c r="N58" s="45" t="s">
        <v>186</v>
      </c>
      <c r="O58" s="46" t="s">
        <v>187</v>
      </c>
      <c r="P58" s="46" t="s">
        <v>188</v>
      </c>
    </row>
    <row r="59" spans="1:16" ht="12.75" customHeight="1" thickBot="1" x14ac:dyDescent="0.25">
      <c r="A59" s="9" t="str">
        <f t="shared" si="6"/>
        <v> BTAD 35.33 </v>
      </c>
      <c r="B59" s="14" t="str">
        <f t="shared" si="7"/>
        <v>I</v>
      </c>
      <c r="C59" s="9">
        <f t="shared" si="8"/>
        <v>35811.18</v>
      </c>
      <c r="D59" s="11" t="str">
        <f t="shared" si="9"/>
        <v>vis</v>
      </c>
      <c r="E59" s="43">
        <f>VLOOKUP(C59,Active!C$21:E$965,3,FALSE)</f>
        <v>2729.9921325810242</v>
      </c>
      <c r="F59" s="14" t="s">
        <v>72</v>
      </c>
      <c r="G59" s="11" t="str">
        <f t="shared" si="10"/>
        <v>35811.180</v>
      </c>
      <c r="H59" s="9">
        <f t="shared" si="11"/>
        <v>2730</v>
      </c>
      <c r="I59" s="44" t="s">
        <v>203</v>
      </c>
      <c r="J59" s="45" t="s">
        <v>204</v>
      </c>
      <c r="K59" s="44">
        <v>2730</v>
      </c>
      <c r="L59" s="44" t="s">
        <v>83</v>
      </c>
      <c r="M59" s="45" t="s">
        <v>78</v>
      </c>
      <c r="N59" s="45"/>
      <c r="O59" s="46" t="s">
        <v>177</v>
      </c>
      <c r="P59" s="46" t="s">
        <v>178</v>
      </c>
    </row>
    <row r="60" spans="1:16" ht="12.75" customHeight="1" thickBot="1" x14ac:dyDescent="0.25">
      <c r="A60" s="9" t="str">
        <f t="shared" si="6"/>
        <v>VSB 47 </v>
      </c>
      <c r="B60" s="14" t="str">
        <f t="shared" si="7"/>
        <v>I</v>
      </c>
      <c r="C60" s="9">
        <f t="shared" si="8"/>
        <v>51098.105000000003</v>
      </c>
      <c r="D60" s="11" t="str">
        <f t="shared" si="9"/>
        <v>vis</v>
      </c>
      <c r="E60" s="43">
        <f>VLOOKUP(C60,Active!C$21:E$965,3,FALSE)</f>
        <v>8467.9999489518632</v>
      </c>
      <c r="F60" s="14" t="s">
        <v>72</v>
      </c>
      <c r="G60" s="11" t="str">
        <f t="shared" si="10"/>
        <v>51098.105</v>
      </c>
      <c r="H60" s="9">
        <f t="shared" si="11"/>
        <v>8468</v>
      </c>
      <c r="I60" s="44" t="s">
        <v>246</v>
      </c>
      <c r="J60" s="45" t="s">
        <v>247</v>
      </c>
      <c r="K60" s="44">
        <v>8468</v>
      </c>
      <c r="L60" s="44" t="s">
        <v>248</v>
      </c>
      <c r="M60" s="45" t="s">
        <v>249</v>
      </c>
      <c r="N60" s="45" t="s">
        <v>250</v>
      </c>
      <c r="O60" s="46" t="s">
        <v>251</v>
      </c>
      <c r="P60" s="47" t="s">
        <v>252</v>
      </c>
    </row>
    <row r="61" spans="1:16" ht="12.75" customHeight="1" thickBot="1" x14ac:dyDescent="0.25">
      <c r="A61" s="9" t="str">
        <f t="shared" si="6"/>
        <v>VSB 40 </v>
      </c>
      <c r="B61" s="14" t="str">
        <f t="shared" si="7"/>
        <v>I</v>
      </c>
      <c r="C61" s="9">
        <f t="shared" si="8"/>
        <v>52621.991999999998</v>
      </c>
      <c r="D61" s="11" t="str">
        <f t="shared" si="9"/>
        <v>vis</v>
      </c>
      <c r="E61" s="43">
        <f>VLOOKUP(C61,Active!C$21:E$965,3,FALSE)</f>
        <v>9039.9969671400122</v>
      </c>
      <c r="F61" s="14" t="s">
        <v>72</v>
      </c>
      <c r="G61" s="11" t="str">
        <f t="shared" si="10"/>
        <v>52621.992</v>
      </c>
      <c r="H61" s="9">
        <f t="shared" si="11"/>
        <v>9040</v>
      </c>
      <c r="I61" s="44" t="s">
        <v>253</v>
      </c>
      <c r="J61" s="45" t="s">
        <v>254</v>
      </c>
      <c r="K61" s="44">
        <v>9040</v>
      </c>
      <c r="L61" s="44" t="s">
        <v>135</v>
      </c>
      <c r="M61" s="45" t="s">
        <v>124</v>
      </c>
      <c r="N61" s="45"/>
      <c r="O61" s="46" t="s">
        <v>255</v>
      </c>
      <c r="P61" s="47" t="s">
        <v>256</v>
      </c>
    </row>
    <row r="62" spans="1:16" ht="12.75" customHeight="1" thickBot="1" x14ac:dyDescent="0.25">
      <c r="A62" s="9" t="str">
        <f t="shared" si="6"/>
        <v>VSB 40 </v>
      </c>
      <c r="B62" s="14" t="str">
        <f t="shared" si="7"/>
        <v>I</v>
      </c>
      <c r="C62" s="9">
        <f t="shared" si="8"/>
        <v>52637.97</v>
      </c>
      <c r="D62" s="11" t="str">
        <f t="shared" si="9"/>
        <v>vis</v>
      </c>
      <c r="E62" s="43">
        <f>VLOOKUP(C62,Active!C$21:E$965,3,FALSE)</f>
        <v>9045.9943726934507</v>
      </c>
      <c r="F62" s="14" t="s">
        <v>72</v>
      </c>
      <c r="G62" s="11" t="str">
        <f t="shared" si="10"/>
        <v>52637.970</v>
      </c>
      <c r="H62" s="9">
        <f t="shared" si="11"/>
        <v>9046</v>
      </c>
      <c r="I62" s="44" t="s">
        <v>257</v>
      </c>
      <c r="J62" s="45" t="s">
        <v>258</v>
      </c>
      <c r="K62" s="44">
        <v>9046</v>
      </c>
      <c r="L62" s="44" t="s">
        <v>259</v>
      </c>
      <c r="M62" s="45" t="s">
        <v>124</v>
      </c>
      <c r="N62" s="45"/>
      <c r="O62" s="46" t="s">
        <v>255</v>
      </c>
      <c r="P62" s="47" t="s">
        <v>256</v>
      </c>
    </row>
    <row r="63" spans="1:16" ht="12.75" customHeight="1" thickBot="1" x14ac:dyDescent="0.25">
      <c r="A63" s="9" t="str">
        <f t="shared" si="6"/>
        <v>VSB 40 </v>
      </c>
      <c r="B63" s="14" t="str">
        <f t="shared" si="7"/>
        <v>I</v>
      </c>
      <c r="C63" s="9">
        <f t="shared" si="8"/>
        <v>52637.979700000004</v>
      </c>
      <c r="D63" s="11" t="str">
        <f t="shared" si="9"/>
        <v>vis</v>
      </c>
      <c r="E63" s="43">
        <f>VLOOKUP(C63,Active!C$21:E$965,3,FALSE)</f>
        <v>9045.9980136268514</v>
      </c>
      <c r="F63" s="14" t="s">
        <v>72</v>
      </c>
      <c r="G63" s="11" t="str">
        <f t="shared" si="10"/>
        <v>52637.9797</v>
      </c>
      <c r="H63" s="9">
        <f t="shared" si="11"/>
        <v>9046</v>
      </c>
      <c r="I63" s="44" t="s">
        <v>260</v>
      </c>
      <c r="J63" s="45" t="s">
        <v>261</v>
      </c>
      <c r="K63" s="44">
        <v>9046</v>
      </c>
      <c r="L63" s="44" t="s">
        <v>262</v>
      </c>
      <c r="M63" s="45" t="s">
        <v>185</v>
      </c>
      <c r="N63" s="45" t="s">
        <v>186</v>
      </c>
      <c r="O63" s="46" t="s">
        <v>263</v>
      </c>
      <c r="P63" s="47" t="s">
        <v>256</v>
      </c>
    </row>
    <row r="64" spans="1:16" ht="12.75" customHeight="1" thickBot="1" x14ac:dyDescent="0.25">
      <c r="A64" s="9" t="str">
        <f t="shared" si="6"/>
        <v>VSB 43 </v>
      </c>
      <c r="B64" s="14" t="str">
        <f t="shared" si="7"/>
        <v>I</v>
      </c>
      <c r="C64" s="9">
        <f t="shared" si="8"/>
        <v>53296.035000000003</v>
      </c>
      <c r="D64" s="11" t="str">
        <f t="shared" si="9"/>
        <v>vis</v>
      </c>
      <c r="E64" s="43">
        <f>VLOOKUP(C64,Active!C$21:E$965,3,FALSE)</f>
        <v>9293.0016755800734</v>
      </c>
      <c r="F64" s="14" t="s">
        <v>72</v>
      </c>
      <c r="G64" s="11" t="str">
        <f t="shared" si="10"/>
        <v>53296.035</v>
      </c>
      <c r="H64" s="9">
        <f t="shared" si="11"/>
        <v>9293</v>
      </c>
      <c r="I64" s="44" t="s">
        <v>264</v>
      </c>
      <c r="J64" s="45" t="s">
        <v>265</v>
      </c>
      <c r="K64" s="44">
        <v>9293</v>
      </c>
      <c r="L64" s="44" t="s">
        <v>266</v>
      </c>
      <c r="M64" s="45" t="s">
        <v>124</v>
      </c>
      <c r="N64" s="45"/>
      <c r="O64" s="46" t="s">
        <v>255</v>
      </c>
      <c r="P64" s="47" t="s">
        <v>267</v>
      </c>
    </row>
    <row r="65" spans="1:16" ht="12.75" customHeight="1" thickBot="1" x14ac:dyDescent="0.25">
      <c r="A65" s="9" t="str">
        <f t="shared" si="6"/>
        <v>VSB 44 </v>
      </c>
      <c r="B65" s="14" t="str">
        <f t="shared" si="7"/>
        <v>I</v>
      </c>
      <c r="C65" s="9">
        <f t="shared" si="8"/>
        <v>53375.949000000001</v>
      </c>
      <c r="D65" s="11" t="str">
        <f t="shared" si="9"/>
        <v>vis</v>
      </c>
      <c r="E65" s="43">
        <f>VLOOKUP(C65,Active!C$21:E$965,3,FALSE)</f>
        <v>9322.9977118422685</v>
      </c>
      <c r="F65" s="14" t="s">
        <v>72</v>
      </c>
      <c r="G65" s="11" t="str">
        <f t="shared" si="10"/>
        <v>53375.949</v>
      </c>
      <c r="H65" s="9">
        <f t="shared" si="11"/>
        <v>9323</v>
      </c>
      <c r="I65" s="44" t="s">
        <v>274</v>
      </c>
      <c r="J65" s="45" t="s">
        <v>275</v>
      </c>
      <c r="K65" s="44" t="s">
        <v>276</v>
      </c>
      <c r="L65" s="44" t="s">
        <v>225</v>
      </c>
      <c r="M65" s="45" t="s">
        <v>124</v>
      </c>
      <c r="N65" s="45"/>
      <c r="O65" s="46" t="s">
        <v>255</v>
      </c>
      <c r="P65" s="47" t="s">
        <v>277</v>
      </c>
    </row>
    <row r="66" spans="1:16" ht="12.75" customHeight="1" thickBot="1" x14ac:dyDescent="0.25">
      <c r="A66" s="9" t="str">
        <f t="shared" si="6"/>
        <v>VSB 44 </v>
      </c>
      <c r="B66" s="14" t="str">
        <f t="shared" si="7"/>
        <v>I</v>
      </c>
      <c r="C66" s="9">
        <f t="shared" si="8"/>
        <v>53391.938000000002</v>
      </c>
      <c r="D66" s="11" t="str">
        <f t="shared" si="9"/>
        <v>vis</v>
      </c>
      <c r="E66" s="43">
        <f>VLOOKUP(C66,Active!C$21:E$965,3,FALSE)</f>
        <v>9328.9992462892515</v>
      </c>
      <c r="F66" s="14" t="s">
        <v>72</v>
      </c>
      <c r="G66" s="11" t="str">
        <f t="shared" si="10"/>
        <v>53391.938</v>
      </c>
      <c r="H66" s="9">
        <f t="shared" si="11"/>
        <v>9329</v>
      </c>
      <c r="I66" s="44" t="s">
        <v>278</v>
      </c>
      <c r="J66" s="45" t="s">
        <v>279</v>
      </c>
      <c r="K66" s="44" t="s">
        <v>280</v>
      </c>
      <c r="L66" s="44" t="s">
        <v>207</v>
      </c>
      <c r="M66" s="45" t="s">
        <v>124</v>
      </c>
      <c r="N66" s="45"/>
      <c r="O66" s="46" t="s">
        <v>255</v>
      </c>
      <c r="P66" s="47" t="s">
        <v>277</v>
      </c>
    </row>
    <row r="67" spans="1:16" ht="12.75" customHeight="1" thickBot="1" x14ac:dyDescent="0.25">
      <c r="A67" s="9" t="str">
        <f t="shared" si="6"/>
        <v>VSB 45 </v>
      </c>
      <c r="B67" s="14" t="str">
        <f t="shared" si="7"/>
        <v>I</v>
      </c>
      <c r="C67" s="9">
        <f t="shared" si="8"/>
        <v>53764.915999999997</v>
      </c>
      <c r="D67" s="11" t="str">
        <f t="shared" si="9"/>
        <v>vis</v>
      </c>
      <c r="E67" s="43">
        <f>VLOOKUP(C67,Active!C$21:E$965,3,FALSE)</f>
        <v>9468.9980151282653</v>
      </c>
      <c r="F67" s="14" t="s">
        <v>72</v>
      </c>
      <c r="G67" s="11" t="str">
        <f t="shared" si="10"/>
        <v>53764.916</v>
      </c>
      <c r="H67" s="9">
        <f t="shared" si="11"/>
        <v>9469</v>
      </c>
      <c r="I67" s="44" t="s">
        <v>281</v>
      </c>
      <c r="J67" s="45" t="s">
        <v>282</v>
      </c>
      <c r="K67" s="44" t="s">
        <v>283</v>
      </c>
      <c r="L67" s="44" t="s">
        <v>284</v>
      </c>
      <c r="M67" s="45" t="s">
        <v>124</v>
      </c>
      <c r="N67" s="45"/>
      <c r="O67" s="46" t="s">
        <v>285</v>
      </c>
      <c r="P67" s="47" t="s">
        <v>286</v>
      </c>
    </row>
    <row r="68" spans="1:16" ht="12.75" customHeight="1" thickBot="1" x14ac:dyDescent="0.25">
      <c r="A68" s="9" t="str">
        <f t="shared" si="6"/>
        <v>VSB 45 </v>
      </c>
      <c r="B68" s="14" t="str">
        <f t="shared" si="7"/>
        <v>I</v>
      </c>
      <c r="C68" s="9">
        <f t="shared" si="8"/>
        <v>54097.9306</v>
      </c>
      <c r="D68" s="11" t="str">
        <f t="shared" si="9"/>
        <v>vis</v>
      </c>
      <c r="E68" s="43">
        <f>VLOOKUP(C68,Active!C$21:E$965,3,FALSE)</f>
        <v>9593.9963635708482</v>
      </c>
      <c r="F68" s="14" t="s">
        <v>72</v>
      </c>
      <c r="G68" s="11" t="str">
        <f t="shared" si="10"/>
        <v>54097.9306</v>
      </c>
      <c r="H68" s="9">
        <f t="shared" si="11"/>
        <v>9594</v>
      </c>
      <c r="I68" s="44" t="s">
        <v>287</v>
      </c>
      <c r="J68" s="45" t="s">
        <v>288</v>
      </c>
      <c r="K68" s="44" t="s">
        <v>289</v>
      </c>
      <c r="L68" s="44" t="s">
        <v>290</v>
      </c>
      <c r="M68" s="45" t="s">
        <v>185</v>
      </c>
      <c r="N68" s="45" t="s">
        <v>186</v>
      </c>
      <c r="O68" s="46" t="s">
        <v>285</v>
      </c>
      <c r="P68" s="47" t="s">
        <v>286</v>
      </c>
    </row>
    <row r="69" spans="1:16" ht="12.75" customHeight="1" thickBot="1" x14ac:dyDescent="0.25">
      <c r="A69" s="9" t="str">
        <f t="shared" si="6"/>
        <v>VSB 46 </v>
      </c>
      <c r="B69" s="14" t="str">
        <f t="shared" si="7"/>
        <v>I</v>
      </c>
      <c r="C69" s="9">
        <f t="shared" si="8"/>
        <v>54113.916499999999</v>
      </c>
      <c r="D69" s="11" t="str">
        <f t="shared" si="9"/>
        <v>vis</v>
      </c>
      <c r="E69" s="43">
        <f>VLOOKUP(C69,Active!C$21:E$965,3,FALSE)</f>
        <v>9599.9967344205579</v>
      </c>
      <c r="F69" s="14" t="s">
        <v>72</v>
      </c>
      <c r="G69" s="11" t="str">
        <f t="shared" si="10"/>
        <v>54113.9165</v>
      </c>
      <c r="H69" s="9">
        <f t="shared" si="11"/>
        <v>9600</v>
      </c>
      <c r="I69" s="44" t="s">
        <v>291</v>
      </c>
      <c r="J69" s="45" t="s">
        <v>292</v>
      </c>
      <c r="K69" s="44" t="s">
        <v>293</v>
      </c>
      <c r="L69" s="44" t="s">
        <v>294</v>
      </c>
      <c r="M69" s="45" t="s">
        <v>249</v>
      </c>
      <c r="N69" s="45" t="s">
        <v>295</v>
      </c>
      <c r="O69" s="46" t="s">
        <v>296</v>
      </c>
      <c r="P69" s="47" t="s">
        <v>297</v>
      </c>
    </row>
    <row r="70" spans="1:16" ht="12.75" customHeight="1" thickBot="1" x14ac:dyDescent="0.25">
      <c r="A70" s="9" t="str">
        <f t="shared" si="6"/>
        <v>VSB 46 </v>
      </c>
      <c r="B70" s="14" t="str">
        <f t="shared" si="7"/>
        <v>I</v>
      </c>
      <c r="C70" s="9">
        <f t="shared" si="8"/>
        <v>54454.925999999999</v>
      </c>
      <c r="D70" s="11" t="str">
        <f t="shared" si="9"/>
        <v>vis</v>
      </c>
      <c r="E70" s="43">
        <f>VLOOKUP(C70,Active!C$21:E$965,3,FALSE)</f>
        <v>9727.9960002282151</v>
      </c>
      <c r="F70" s="14" t="s">
        <v>72</v>
      </c>
      <c r="G70" s="11" t="str">
        <f t="shared" si="10"/>
        <v>54454.926</v>
      </c>
      <c r="H70" s="9">
        <f t="shared" si="11"/>
        <v>9728</v>
      </c>
      <c r="I70" s="44" t="s">
        <v>298</v>
      </c>
      <c r="J70" s="45" t="s">
        <v>299</v>
      </c>
      <c r="K70" s="44" t="s">
        <v>300</v>
      </c>
      <c r="L70" s="44" t="s">
        <v>301</v>
      </c>
      <c r="M70" s="45" t="s">
        <v>124</v>
      </c>
      <c r="N70" s="45"/>
      <c r="O70" s="46" t="s">
        <v>302</v>
      </c>
      <c r="P70" s="47" t="s">
        <v>297</v>
      </c>
    </row>
    <row r="71" spans="1:16" ht="12.75" customHeight="1" thickBot="1" x14ac:dyDescent="0.25">
      <c r="A71" s="9" t="str">
        <f t="shared" si="6"/>
        <v>VSB 59 </v>
      </c>
      <c r="B71" s="14" t="str">
        <f t="shared" si="7"/>
        <v>I</v>
      </c>
      <c r="C71" s="9">
        <f t="shared" si="8"/>
        <v>56959.252</v>
      </c>
      <c r="D71" s="11" t="str">
        <f t="shared" si="9"/>
        <v>vis</v>
      </c>
      <c r="E71" s="43">
        <f>VLOOKUP(C71,Active!C$21:E$965,3,FALSE)</f>
        <v>10668.004678411742</v>
      </c>
      <c r="F71" s="14" t="s">
        <v>72</v>
      </c>
      <c r="G71" s="11" t="str">
        <f t="shared" si="10"/>
        <v>56959.252</v>
      </c>
      <c r="H71" s="9">
        <f t="shared" si="11"/>
        <v>10668</v>
      </c>
      <c r="I71" s="44" t="s">
        <v>303</v>
      </c>
      <c r="J71" s="45" t="s">
        <v>304</v>
      </c>
      <c r="K71" s="44" t="s">
        <v>305</v>
      </c>
      <c r="L71" s="44" t="s">
        <v>306</v>
      </c>
      <c r="M71" s="45" t="s">
        <v>124</v>
      </c>
      <c r="N71" s="45"/>
      <c r="O71" s="46" t="s">
        <v>302</v>
      </c>
      <c r="P71" s="47" t="s">
        <v>307</v>
      </c>
    </row>
    <row r="72" spans="1:16" ht="12.75" customHeight="1" thickBot="1" x14ac:dyDescent="0.25">
      <c r="A72" s="9" t="str">
        <f t="shared" si="6"/>
        <v>VSB 59 </v>
      </c>
      <c r="B72" s="14" t="str">
        <f t="shared" si="7"/>
        <v>I</v>
      </c>
      <c r="C72" s="9">
        <f t="shared" si="8"/>
        <v>56975.226000000002</v>
      </c>
      <c r="D72" s="11" t="str">
        <f t="shared" si="9"/>
        <v>vis</v>
      </c>
      <c r="E72" s="43">
        <f>VLOOKUP(C72,Active!C$21:E$965,3,FALSE)</f>
        <v>10674.000582549344</v>
      </c>
      <c r="F72" s="14" t="s">
        <v>72</v>
      </c>
      <c r="G72" s="11" t="str">
        <f t="shared" si="10"/>
        <v>56975.226</v>
      </c>
      <c r="H72" s="9">
        <f t="shared" si="11"/>
        <v>10674</v>
      </c>
      <c r="I72" s="44" t="s">
        <v>308</v>
      </c>
      <c r="J72" s="45" t="s">
        <v>309</v>
      </c>
      <c r="K72" s="44" t="s">
        <v>310</v>
      </c>
      <c r="L72" s="44" t="s">
        <v>176</v>
      </c>
      <c r="M72" s="45" t="s">
        <v>124</v>
      </c>
      <c r="N72" s="45"/>
      <c r="O72" s="46" t="s">
        <v>302</v>
      </c>
      <c r="P72" s="47" t="s">
        <v>307</v>
      </c>
    </row>
    <row r="73" spans="1:16" x14ac:dyDescent="0.2">
      <c r="B73" s="14"/>
      <c r="F73" s="14"/>
    </row>
    <row r="74" spans="1:16" x14ac:dyDescent="0.2">
      <c r="B74" s="14"/>
      <c r="F74" s="14"/>
    </row>
    <row r="75" spans="1:16" x14ac:dyDescent="0.2">
      <c r="B75" s="14"/>
      <c r="F75" s="14"/>
    </row>
    <row r="76" spans="1:16" x14ac:dyDescent="0.2">
      <c r="B76" s="14"/>
      <c r="F76" s="14"/>
    </row>
    <row r="77" spans="1:16" x14ac:dyDescent="0.2">
      <c r="B77" s="14"/>
      <c r="F77" s="14"/>
    </row>
    <row r="78" spans="1:16" x14ac:dyDescent="0.2">
      <c r="B78" s="14"/>
      <c r="F78" s="14"/>
    </row>
    <row r="79" spans="1:16" x14ac:dyDescent="0.2">
      <c r="B79" s="14"/>
      <c r="F79" s="14"/>
    </row>
    <row r="80" spans="1:1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</sheetData>
  <phoneticPr fontId="8" type="noConversion"/>
  <hyperlinks>
    <hyperlink ref="P11" r:id="rId1" display="http://www.konkoly.hu/cgi-bin/IBVS?795"/>
    <hyperlink ref="P60" r:id="rId2" display="http://vsolj.cetus-net.org/no47.pdf"/>
    <hyperlink ref="P61" r:id="rId3" display="http://vsolj.cetus-net.org/no40.pdf"/>
    <hyperlink ref="P62" r:id="rId4" display="http://vsolj.cetus-net.org/no40.pdf"/>
    <hyperlink ref="P63" r:id="rId5" display="http://vsolj.cetus-net.org/no40.pdf"/>
    <hyperlink ref="P64" r:id="rId6" display="http://vsolj.cetus-net.org/no43.pdf"/>
    <hyperlink ref="P20" r:id="rId7" display="http://www.konkoly.hu/cgi-bin/IBVS?5843"/>
    <hyperlink ref="P65" r:id="rId8" display="http://vsolj.cetus-net.org/no44.pdf"/>
    <hyperlink ref="P66" r:id="rId9" display="http://vsolj.cetus-net.org/no44.pdf"/>
    <hyperlink ref="P67" r:id="rId10" display="http://vsolj.cetus-net.org/no45.pdf"/>
    <hyperlink ref="P68" r:id="rId11" display="http://vsolj.cetus-net.org/no45.pdf"/>
    <hyperlink ref="P69" r:id="rId12" display="http://vsolj.cetus-net.org/no46.pdf"/>
    <hyperlink ref="P70" r:id="rId13" display="http://vsolj.cetus-net.org/no46.pdf"/>
    <hyperlink ref="P71" r:id="rId14" display="http://vsolj.cetus-net.org/vsoljno59.pdf"/>
    <hyperlink ref="P72" r:id="rId15" display="http://vsolj.cetus-net.org/vsoljno59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2023-01-14T03:54:08Z</dcterms:modified>
</cp:coreProperties>
</file>