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81E704D-A878-4E14-AE40-25A6709ED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Q89" i="1" l="1"/>
  <c r="Q86" i="1"/>
  <c r="Q87" i="1"/>
  <c r="Q88" i="1"/>
  <c r="Q85" i="1"/>
  <c r="Q84" i="1"/>
  <c r="Q83" i="1"/>
  <c r="C17" i="1"/>
  <c r="F1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7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55" i="3"/>
  <c r="C55" i="3"/>
  <c r="G16" i="3"/>
  <c r="C16" i="3"/>
  <c r="G15" i="3"/>
  <c r="C15" i="3"/>
  <c r="G14" i="3"/>
  <c r="C14" i="3"/>
  <c r="G13" i="3"/>
  <c r="C13" i="3"/>
  <c r="G12" i="3"/>
  <c r="C12" i="3"/>
  <c r="G11" i="3"/>
  <c r="C11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H71" i="3"/>
  <c r="D71" i="3"/>
  <c r="B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55" i="3"/>
  <c r="B55" i="3"/>
  <c r="D55" i="3"/>
  <c r="A55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Q52" i="2"/>
  <c r="E39" i="2"/>
  <c r="F39" i="2"/>
  <c r="G39" i="2"/>
  <c r="J39" i="2"/>
  <c r="E42" i="2"/>
  <c r="F42" i="2"/>
  <c r="E45" i="2"/>
  <c r="F45" i="2"/>
  <c r="G45" i="2"/>
  <c r="L45" i="2"/>
  <c r="E47" i="2"/>
  <c r="F47" i="2"/>
  <c r="E49" i="2"/>
  <c r="F49" i="2"/>
  <c r="G49" i="2"/>
  <c r="L49" i="2"/>
  <c r="E54" i="2"/>
  <c r="F54" i="2"/>
  <c r="E37" i="2"/>
  <c r="F37" i="2"/>
  <c r="F11" i="2"/>
  <c r="Q53" i="2"/>
  <c r="E28" i="2"/>
  <c r="F28" i="2"/>
  <c r="G28" i="2"/>
  <c r="N28" i="2"/>
  <c r="E31" i="2"/>
  <c r="F31" i="2"/>
  <c r="E32" i="2"/>
  <c r="F32" i="2"/>
  <c r="E34" i="2"/>
  <c r="F34" i="2"/>
  <c r="E35" i="2"/>
  <c r="F35" i="2"/>
  <c r="E36" i="2"/>
  <c r="F36" i="2"/>
  <c r="Q51" i="2"/>
  <c r="Q45" i="2"/>
  <c r="C7" i="2"/>
  <c r="C8" i="2"/>
  <c r="E21" i="2"/>
  <c r="F21" i="2"/>
  <c r="G21" i="2"/>
  <c r="N21" i="2"/>
  <c r="C39" i="2"/>
  <c r="C40" i="2"/>
  <c r="C41" i="2"/>
  <c r="E41" i="2"/>
  <c r="F41" i="2"/>
  <c r="G11" i="2"/>
  <c r="Q54" i="2"/>
  <c r="E14" i="2"/>
  <c r="E15" i="2" s="1"/>
  <c r="Q49" i="2"/>
  <c r="Q46" i="2"/>
  <c r="Q48" i="2"/>
  <c r="Q47" i="2"/>
  <c r="Q50" i="2"/>
  <c r="C17" i="2"/>
  <c r="Q44" i="2"/>
  <c r="Q43" i="2"/>
  <c r="Q38" i="2"/>
  <c r="Q42" i="2"/>
  <c r="Q21" i="2"/>
  <c r="Q39" i="2"/>
  <c r="Q40" i="2"/>
  <c r="Q41" i="2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5" i="1"/>
  <c r="Q66" i="1"/>
  <c r="C7" i="1"/>
  <c r="E89" i="1" s="1"/>
  <c r="F89" i="1" s="1"/>
  <c r="G89" i="1" s="1"/>
  <c r="K89" i="1" s="1"/>
  <c r="C8" i="1"/>
  <c r="E27" i="1" s="1"/>
  <c r="Q49" i="1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E22" i="2"/>
  <c r="F22" i="2"/>
  <c r="G22" i="2"/>
  <c r="G31" i="2"/>
  <c r="N31" i="2"/>
  <c r="E29" i="2"/>
  <c r="F29" i="2"/>
  <c r="E26" i="2"/>
  <c r="F26" i="2"/>
  <c r="E23" i="2"/>
  <c r="F23" i="2"/>
  <c r="G54" i="2"/>
  <c r="K54" i="2"/>
  <c r="E50" i="2"/>
  <c r="F50" i="2"/>
  <c r="G50" i="2"/>
  <c r="K50" i="2"/>
  <c r="G46" i="2"/>
  <c r="L46" i="2"/>
  <c r="E43" i="2"/>
  <c r="F43" i="2"/>
  <c r="G43" i="2"/>
  <c r="L43" i="2"/>
  <c r="E33" i="1"/>
  <c r="F33" i="1" s="1"/>
  <c r="G33" i="1" s="1"/>
  <c r="I33" i="1" s="1"/>
  <c r="E66" i="1"/>
  <c r="F66" i="1" s="1"/>
  <c r="U66" i="1" s="1"/>
  <c r="K66" i="1" s="1"/>
  <c r="E72" i="1"/>
  <c r="E61" i="3" s="1"/>
  <c r="E71" i="1"/>
  <c r="F71" i="1" s="1"/>
  <c r="G71" i="1" s="1"/>
  <c r="I71" i="1" s="1"/>
  <c r="E28" i="1"/>
  <c r="E31" i="1"/>
  <c r="E36" i="3" s="1"/>
  <c r="E79" i="1"/>
  <c r="E68" i="3" s="1"/>
  <c r="F79" i="1"/>
  <c r="G79" i="1" s="1"/>
  <c r="I79" i="1" s="1"/>
  <c r="E51" i="1"/>
  <c r="E11" i="3" s="1"/>
  <c r="E46" i="1"/>
  <c r="F46" i="1" s="1"/>
  <c r="G46" i="1" s="1"/>
  <c r="I46" i="1" s="1"/>
  <c r="E34" i="1"/>
  <c r="F34" i="1"/>
  <c r="G34" i="1" s="1"/>
  <c r="I34" i="1" s="1"/>
  <c r="E54" i="1"/>
  <c r="F54" i="1" s="1"/>
  <c r="G54" i="1" s="1"/>
  <c r="I54" i="1" s="1"/>
  <c r="E73" i="1"/>
  <c r="F73" i="1" s="1"/>
  <c r="G73" i="1" s="1"/>
  <c r="I73" i="1" s="1"/>
  <c r="E78" i="1"/>
  <c r="E39" i="1"/>
  <c r="F39" i="1" s="1"/>
  <c r="G39" i="1" s="1"/>
  <c r="I39" i="1" s="1"/>
  <c r="E37" i="1"/>
  <c r="E44" i="1"/>
  <c r="F44" i="1" s="1"/>
  <c r="G44" i="1" s="1"/>
  <c r="I44" i="1" s="1"/>
  <c r="E65" i="1"/>
  <c r="F65" i="1" s="1"/>
  <c r="U65" i="1" s="1"/>
  <c r="K65" i="1" s="1"/>
  <c r="E52" i="1"/>
  <c r="F52" i="1"/>
  <c r="G52" i="1" s="1"/>
  <c r="I52" i="1" s="1"/>
  <c r="E69" i="1"/>
  <c r="E47" i="1"/>
  <c r="E52" i="3" s="1"/>
  <c r="E62" i="1"/>
  <c r="E21" i="3" s="1"/>
  <c r="E55" i="1"/>
  <c r="F55" i="1" s="1"/>
  <c r="G55" i="1" s="1"/>
  <c r="I55" i="1" s="1"/>
  <c r="G41" i="2"/>
  <c r="J41" i="2"/>
  <c r="E12" i="3"/>
  <c r="E40" i="1"/>
  <c r="F40" i="1" s="1"/>
  <c r="G40" i="1" s="1"/>
  <c r="I40" i="1" s="1"/>
  <c r="G40" i="2"/>
  <c r="J40" i="2"/>
  <c r="E40" i="2"/>
  <c r="F40" i="2"/>
  <c r="E53" i="2"/>
  <c r="F53" i="2"/>
  <c r="G53" i="2"/>
  <c r="L53" i="2"/>
  <c r="E39" i="3"/>
  <c r="E51" i="3"/>
  <c r="E49" i="1"/>
  <c r="F49" i="1" s="1"/>
  <c r="G49" i="1" s="1"/>
  <c r="H49" i="1" s="1"/>
  <c r="E38" i="2"/>
  <c r="F38" i="2"/>
  <c r="G38" i="2"/>
  <c r="L38" i="2"/>
  <c r="E46" i="2"/>
  <c r="F46" i="2"/>
  <c r="G42" i="2"/>
  <c r="K42" i="2"/>
  <c r="E48" i="2"/>
  <c r="F48" i="2"/>
  <c r="G48" i="2"/>
  <c r="L48" i="2"/>
  <c r="E25" i="2"/>
  <c r="F25" i="2"/>
  <c r="G25" i="2"/>
  <c r="N25" i="2"/>
  <c r="E33" i="2"/>
  <c r="F33" i="2"/>
  <c r="E30" i="2"/>
  <c r="F30" i="2"/>
  <c r="G30" i="2"/>
  <c r="N30" i="2"/>
  <c r="E27" i="2"/>
  <c r="F27" i="2"/>
  <c r="G27" i="2"/>
  <c r="N27" i="2"/>
  <c r="E24" i="2"/>
  <c r="F24" i="2"/>
  <c r="G24" i="2"/>
  <c r="N24" i="2"/>
  <c r="G51" i="2"/>
  <c r="L51" i="2"/>
  <c r="G47" i="2"/>
  <c r="L47" i="2"/>
  <c r="E52" i="2"/>
  <c r="F52" i="2"/>
  <c r="G52" i="2"/>
  <c r="L52" i="2"/>
  <c r="G29" i="2"/>
  <c r="N29" i="2"/>
  <c r="G26" i="2"/>
  <c r="N26" i="2"/>
  <c r="G23" i="2"/>
  <c r="N23" i="2"/>
  <c r="E51" i="2"/>
  <c r="F51" i="2"/>
  <c r="E44" i="2"/>
  <c r="F44" i="2"/>
  <c r="G44" i="2"/>
  <c r="L44" i="2"/>
  <c r="E60" i="3"/>
  <c r="F28" i="1"/>
  <c r="G28" i="1"/>
  <c r="E33" i="3"/>
  <c r="E49" i="3"/>
  <c r="F62" i="1"/>
  <c r="U62" i="1"/>
  <c r="I62" i="1" s="1"/>
  <c r="E38" i="3"/>
  <c r="F78" i="1"/>
  <c r="G78" i="1"/>
  <c r="I78" i="1" s="1"/>
  <c r="E67" i="3"/>
  <c r="E58" i="3"/>
  <c r="F69" i="1"/>
  <c r="U69" i="1"/>
  <c r="F37" i="1"/>
  <c r="G37" i="1"/>
  <c r="I37" i="1"/>
  <c r="E42" i="3"/>
  <c r="H22" i="2"/>
  <c r="I28" i="1"/>
  <c r="C12" i="2"/>
  <c r="F27" i="1" l="1"/>
  <c r="G27" i="1" s="1"/>
  <c r="I27" i="1" s="1"/>
  <c r="E32" i="3"/>
  <c r="E62" i="3"/>
  <c r="E81" i="1"/>
  <c r="E70" i="1"/>
  <c r="E26" i="1"/>
  <c r="E42" i="1"/>
  <c r="E58" i="1"/>
  <c r="E74" i="1"/>
  <c r="E61" i="1"/>
  <c r="E60" i="1"/>
  <c r="E22" i="1"/>
  <c r="E36" i="1"/>
  <c r="E43" i="1"/>
  <c r="E45" i="3"/>
  <c r="E88" i="1"/>
  <c r="F88" i="1" s="1"/>
  <c r="G88" i="1" s="1"/>
  <c r="K88" i="1" s="1"/>
  <c r="E15" i="3"/>
  <c r="E25" i="3"/>
  <c r="E59" i="1"/>
  <c r="F47" i="1"/>
  <c r="G47" i="1" s="1"/>
  <c r="I47" i="1" s="1"/>
  <c r="E68" i="1"/>
  <c r="E23" i="1"/>
  <c r="E30" i="1"/>
  <c r="F51" i="1"/>
  <c r="G51" i="1" s="1"/>
  <c r="I51" i="1" s="1"/>
  <c r="F31" i="1"/>
  <c r="G31" i="1" s="1"/>
  <c r="I31" i="1" s="1"/>
  <c r="E63" i="1"/>
  <c r="F72" i="1"/>
  <c r="G72" i="1" s="1"/>
  <c r="I72" i="1" s="1"/>
  <c r="E24" i="1"/>
  <c r="F16" i="1"/>
  <c r="E44" i="3"/>
  <c r="E80" i="1"/>
  <c r="E38" i="1"/>
  <c r="E53" i="1"/>
  <c r="E75" i="1"/>
  <c r="E87" i="1"/>
  <c r="F87" i="1" s="1"/>
  <c r="G87" i="1" s="1"/>
  <c r="K87" i="1" s="1"/>
  <c r="E14" i="3"/>
  <c r="E24" i="3"/>
  <c r="E76" i="1"/>
  <c r="E35" i="1"/>
  <c r="E82" i="1"/>
  <c r="E64" i="1"/>
  <c r="E67" i="1"/>
  <c r="E25" i="1"/>
  <c r="E48" i="1"/>
  <c r="E83" i="1"/>
  <c r="F83" i="1" s="1"/>
  <c r="G83" i="1" s="1"/>
  <c r="K83" i="1" s="1"/>
  <c r="E21" i="1"/>
  <c r="E85" i="1"/>
  <c r="F85" i="1" s="1"/>
  <c r="G85" i="1" s="1"/>
  <c r="K85" i="1" s="1"/>
  <c r="E86" i="1"/>
  <c r="F86" i="1" s="1"/>
  <c r="G86" i="1" s="1"/>
  <c r="K86" i="1" s="1"/>
  <c r="E77" i="1"/>
  <c r="E45" i="1"/>
  <c r="E84" i="1"/>
  <c r="F84" i="1" s="1"/>
  <c r="G84" i="1" s="1"/>
  <c r="K84" i="1" s="1"/>
  <c r="E50" i="1"/>
  <c r="E32" i="1"/>
  <c r="E57" i="1"/>
  <c r="E41" i="1"/>
  <c r="E56" i="1"/>
  <c r="E29" i="1"/>
  <c r="C16" i="2"/>
  <c r="D18" i="2" s="1"/>
  <c r="C11" i="2"/>
  <c r="O37" i="2" l="1"/>
  <c r="O30" i="2"/>
  <c r="O46" i="2"/>
  <c r="O36" i="2"/>
  <c r="O52" i="2"/>
  <c r="O49" i="2"/>
  <c r="O54" i="2"/>
  <c r="O33" i="2"/>
  <c r="O21" i="2"/>
  <c r="O47" i="2"/>
  <c r="O45" i="2"/>
  <c r="O28" i="2"/>
  <c r="O38" i="2"/>
  <c r="O42" i="2"/>
  <c r="O40" i="2"/>
  <c r="O25" i="2"/>
  <c r="O41" i="2"/>
  <c r="O31" i="2"/>
  <c r="O34" i="2"/>
  <c r="O53" i="2"/>
  <c r="O27" i="2"/>
  <c r="O51" i="2"/>
  <c r="O26" i="2"/>
  <c r="O35" i="2"/>
  <c r="O29" i="2"/>
  <c r="O48" i="2"/>
  <c r="O23" i="2"/>
  <c r="O24" i="2"/>
  <c r="C15" i="2"/>
  <c r="E16" i="2" s="1"/>
  <c r="E17" i="2" s="1"/>
  <c r="O22" i="2"/>
  <c r="O44" i="2"/>
  <c r="O50" i="2"/>
  <c r="O39" i="2"/>
  <c r="O43" i="2"/>
  <c r="O32" i="2"/>
  <c r="F56" i="1"/>
  <c r="G56" i="1" s="1"/>
  <c r="I56" i="1" s="1"/>
  <c r="E16" i="3"/>
  <c r="F82" i="1"/>
  <c r="G82" i="1" s="1"/>
  <c r="I82" i="1" s="1"/>
  <c r="E71" i="3"/>
  <c r="E43" i="3"/>
  <c r="F38" i="1"/>
  <c r="G38" i="1" s="1"/>
  <c r="I38" i="1" s="1"/>
  <c r="F58" i="1"/>
  <c r="G58" i="1" s="1"/>
  <c r="I58" i="1" s="1"/>
  <c r="E17" i="3"/>
  <c r="F41" i="1"/>
  <c r="G41" i="1" s="1"/>
  <c r="I41" i="1" s="1"/>
  <c r="E46" i="3"/>
  <c r="F35" i="1"/>
  <c r="G35" i="1" s="1"/>
  <c r="I35" i="1" s="1"/>
  <c r="E40" i="3"/>
  <c r="F80" i="1"/>
  <c r="G80" i="1" s="1"/>
  <c r="I80" i="1" s="1"/>
  <c r="E69" i="3"/>
  <c r="E35" i="3"/>
  <c r="F30" i="1"/>
  <c r="G30" i="1" s="1"/>
  <c r="I30" i="1" s="1"/>
  <c r="F42" i="1"/>
  <c r="G42" i="1" s="1"/>
  <c r="I42" i="1" s="1"/>
  <c r="E47" i="3"/>
  <c r="F57" i="1"/>
  <c r="G57" i="1" s="1"/>
  <c r="I57" i="1" s="1"/>
  <c r="E55" i="3"/>
  <c r="E26" i="3"/>
  <c r="F21" i="1"/>
  <c r="G21" i="1" s="1"/>
  <c r="E65" i="3"/>
  <c r="F76" i="1"/>
  <c r="G76" i="1" s="1"/>
  <c r="I76" i="1" s="1"/>
  <c r="E28" i="3"/>
  <c r="F23" i="1"/>
  <c r="G23" i="1" s="1"/>
  <c r="I23" i="1" s="1"/>
  <c r="F43" i="1"/>
  <c r="G43" i="1" s="1"/>
  <c r="I43" i="1" s="1"/>
  <c r="E48" i="3"/>
  <c r="F26" i="1"/>
  <c r="G26" i="1" s="1"/>
  <c r="I26" i="1" s="1"/>
  <c r="E31" i="3"/>
  <c r="F32" i="1"/>
  <c r="G32" i="1" s="1"/>
  <c r="I32" i="1" s="1"/>
  <c r="E37" i="3"/>
  <c r="E57" i="3"/>
  <c r="F68" i="1"/>
  <c r="G68" i="1" s="1"/>
  <c r="I68" i="1" s="1"/>
  <c r="F36" i="1"/>
  <c r="G36" i="1" s="1"/>
  <c r="I36" i="1" s="1"/>
  <c r="E41" i="3"/>
  <c r="E59" i="3"/>
  <c r="F70" i="1"/>
  <c r="G70" i="1" s="1"/>
  <c r="I70" i="1" s="1"/>
  <c r="F50" i="1"/>
  <c r="G50" i="1" s="1"/>
  <c r="I50" i="1" s="1"/>
  <c r="E54" i="3"/>
  <c r="E53" i="3"/>
  <c r="F48" i="1"/>
  <c r="G48" i="1" s="1"/>
  <c r="I48" i="1" s="1"/>
  <c r="E29" i="3"/>
  <c r="F24" i="1"/>
  <c r="G24" i="1" s="1"/>
  <c r="I24" i="1" s="1"/>
  <c r="F22" i="1"/>
  <c r="G22" i="1" s="1"/>
  <c r="I22" i="1" s="1"/>
  <c r="E27" i="3"/>
  <c r="F81" i="1"/>
  <c r="G81" i="1" s="1"/>
  <c r="I81" i="1" s="1"/>
  <c r="E70" i="3"/>
  <c r="F25" i="1"/>
  <c r="G25" i="1" s="1"/>
  <c r="I25" i="1" s="1"/>
  <c r="E30" i="3"/>
  <c r="E18" i="3"/>
  <c r="F59" i="1"/>
  <c r="G59" i="1" s="1"/>
  <c r="I59" i="1" s="1"/>
  <c r="F60" i="1"/>
  <c r="G60" i="1" s="1"/>
  <c r="I60" i="1" s="1"/>
  <c r="E19" i="3"/>
  <c r="E50" i="3"/>
  <c r="F45" i="1"/>
  <c r="G45" i="1" s="1"/>
  <c r="I45" i="1" s="1"/>
  <c r="F67" i="1"/>
  <c r="G67" i="1" s="1"/>
  <c r="I67" i="1" s="1"/>
  <c r="E56" i="3"/>
  <c r="F75" i="1"/>
  <c r="G75" i="1" s="1"/>
  <c r="I75" i="1" s="1"/>
  <c r="E64" i="3"/>
  <c r="E22" i="3"/>
  <c r="F63" i="1"/>
  <c r="U63" i="1" s="1"/>
  <c r="I63" i="1" s="1"/>
  <c r="E20" i="3"/>
  <c r="F61" i="1"/>
  <c r="U61" i="1" s="1"/>
  <c r="I61" i="1" s="1"/>
  <c r="F29" i="1"/>
  <c r="G29" i="1" s="1"/>
  <c r="I29" i="1" s="1"/>
  <c r="E34" i="3"/>
  <c r="F77" i="1"/>
  <c r="G77" i="1" s="1"/>
  <c r="I77" i="1" s="1"/>
  <c r="E66" i="3"/>
  <c r="F64" i="1"/>
  <c r="U64" i="1" s="1"/>
  <c r="I64" i="1" s="1"/>
  <c r="E23" i="3"/>
  <c r="E13" i="3"/>
  <c r="F53" i="1"/>
  <c r="G53" i="1" s="1"/>
  <c r="I53" i="1" s="1"/>
  <c r="F74" i="1"/>
  <c r="G74" i="1" s="1"/>
  <c r="I74" i="1" s="1"/>
  <c r="E63" i="3"/>
  <c r="C11" i="1"/>
  <c r="C12" i="1"/>
  <c r="C18" i="2" l="1"/>
  <c r="O67" i="1"/>
  <c r="O22" i="1"/>
  <c r="O58" i="1"/>
  <c r="O45" i="1"/>
  <c r="C15" i="1"/>
  <c r="O89" i="1"/>
  <c r="O56" i="1"/>
  <c r="O80" i="1"/>
  <c r="O83" i="1"/>
  <c r="O37" i="1"/>
  <c r="O47" i="1"/>
  <c r="O23" i="1"/>
  <c r="O51" i="1"/>
  <c r="O34" i="1"/>
  <c r="O65" i="1"/>
  <c r="O63" i="1"/>
  <c r="O88" i="1"/>
  <c r="O27" i="1"/>
  <c r="O77" i="1"/>
  <c r="O49" i="1"/>
  <c r="O81" i="1"/>
  <c r="O53" i="1"/>
  <c r="O79" i="1"/>
  <c r="O68" i="1"/>
  <c r="O30" i="1"/>
  <c r="O31" i="1"/>
  <c r="O69" i="1"/>
  <c r="O36" i="1"/>
  <c r="O60" i="1"/>
  <c r="O52" i="1"/>
  <c r="O87" i="1"/>
  <c r="O55" i="1"/>
  <c r="O78" i="1"/>
  <c r="O48" i="1"/>
  <c r="O29" i="1"/>
  <c r="O59" i="1"/>
  <c r="O43" i="1"/>
  <c r="O44" i="1"/>
  <c r="O82" i="1"/>
  <c r="O66" i="1"/>
  <c r="O41" i="1"/>
  <c r="O84" i="1"/>
  <c r="O42" i="1"/>
  <c r="O40" i="1"/>
  <c r="O86" i="1"/>
  <c r="O38" i="1"/>
  <c r="O61" i="1"/>
  <c r="O70" i="1"/>
  <c r="O33" i="1"/>
  <c r="O85" i="1"/>
  <c r="O50" i="1"/>
  <c r="O76" i="1"/>
  <c r="O28" i="1"/>
  <c r="O26" i="1"/>
  <c r="O72" i="1"/>
  <c r="O73" i="1"/>
  <c r="O54" i="1"/>
  <c r="O62" i="1"/>
  <c r="O74" i="1"/>
  <c r="O32" i="1"/>
  <c r="O71" i="1"/>
  <c r="O57" i="1"/>
  <c r="O39" i="1"/>
  <c r="O24" i="1"/>
  <c r="O64" i="1"/>
  <c r="O35" i="1"/>
  <c r="O25" i="1"/>
  <c r="O21" i="1"/>
  <c r="O75" i="1"/>
  <c r="O46" i="1"/>
  <c r="C16" i="1"/>
  <c r="D18" i="1" s="1"/>
  <c r="I21" i="1"/>
  <c r="C18" i="1" l="1"/>
  <c r="F17" i="1"/>
  <c r="F18" i="1" s="1"/>
</calcChain>
</file>

<file path=xl/sharedStrings.xml><?xml version="1.0" encoding="utf-8"?>
<sst xmlns="http://schemas.openxmlformats.org/spreadsheetml/2006/main" count="854" uniqueCount="335">
  <si>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</si>
  <si>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</si>
  <si>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</si>
  <si>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</si>
  <si>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</si>
  <si>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</si>
  <si>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</si>
  <si>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</si>
  <si>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</si>
  <si>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</si>
  <si>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</si>
  <si>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</si>
  <si>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</si>
  <si>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</si>
  <si>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</si>
  <si>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</si>
  <si>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</si>
  <si>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</si>
  <si>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</si>
  <si>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</si>
  <si>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</si>
  <si>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</si>
  <si>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</si>
  <si>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</si>
  <si>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</si>
  <si>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</si>
  <si>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</si>
  <si>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</si>
  <si>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</si>
  <si>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</si>
  <si>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</si>
  <si>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pg</t>
  </si>
  <si>
    <t>HART. MITT. 22</t>
  </si>
  <si>
    <t>K</t>
  </si>
  <si>
    <t>v</t>
  </si>
  <si>
    <t>Peter</t>
  </si>
  <si>
    <t>H</t>
  </si>
  <si>
    <t>BBSAG Bull.87</t>
  </si>
  <si>
    <t>B</t>
  </si>
  <si>
    <t>BBSAG Bull.88</t>
  </si>
  <si>
    <t>BBSAG Bull.91</t>
  </si>
  <si>
    <t>BBSAG Bull.94</t>
  </si>
  <si>
    <t>BBSAG Bull.100</t>
  </si>
  <si>
    <t>BBSAG Bull.104</t>
  </si>
  <si>
    <t>ROTSE</t>
  </si>
  <si>
    <t>II</t>
  </si>
  <si>
    <t>I</t>
  </si>
  <si>
    <t>Cracow epoch</t>
  </si>
  <si>
    <t>Nelson</t>
  </si>
  <si>
    <t>IBVS 5672</t>
  </si>
  <si>
    <t>IBVS 5657</t>
  </si>
  <si>
    <t>IBVS</t>
  </si>
  <si>
    <t>EB/DM:</t>
  </si>
  <si>
    <t># of data points:</t>
  </si>
  <si>
    <t>IBVS 5731</t>
  </si>
  <si>
    <t>AC Gem / gsc 1337-0486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</si>
  <si>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</si>
  <si>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</si>
  <si>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</si>
  <si>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</si>
  <si>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</si>
  <si>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</si>
  <si>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</si>
  <si>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</si>
  <si>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5875</t>
  </si>
  <si>
    <t>IBVS 5874</t>
  </si>
  <si>
    <t>IBVS 5910</t>
  </si>
  <si>
    <t>Add cycle</t>
  </si>
  <si>
    <t>Old Cycle</t>
  </si>
  <si>
    <t>IBVS 5820</t>
  </si>
  <si>
    <t>IBVS 6011</t>
  </si>
  <si>
    <t>IBVS 6050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</si>
  <si>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</si>
  <si>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</si>
  <si>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</si>
  <si>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</si>
  <si>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</si>
  <si>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</si>
  <si>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</si>
  <si>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</si>
  <si>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</si>
  <si>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</si>
  <si>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</si>
  <si>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2415100.37 </t>
  </si>
  <si>
    <t> 21.03.1900 20:52 </t>
  </si>
  <si>
    <t> 0.34 </t>
  </si>
  <si>
    <t>P </t>
  </si>
  <si>
    <t> B.W.Kukarkin </t>
  </si>
  <si>
    <t> PZ 8.293 </t>
  </si>
  <si>
    <t>2417262.32 </t>
  </si>
  <si>
    <t> 20.02.1906 19:40 </t>
  </si>
  <si>
    <t> 0.25 </t>
  </si>
  <si>
    <t>2419369.48 </t>
  </si>
  <si>
    <t> 28.11.1911 23:31 </t>
  </si>
  <si>
    <t> 0.22 </t>
  </si>
  <si>
    <t>2420539.35 </t>
  </si>
  <si>
    <t> 10.02.1915 20:24 </t>
  </si>
  <si>
    <t> 0.17 </t>
  </si>
  <si>
    <t>2424946.48 </t>
  </si>
  <si>
    <t> 06.03.1927 23:31 </t>
  </si>
  <si>
    <t> 0.14 </t>
  </si>
  <si>
    <t> R.Prager </t>
  </si>
  <si>
    <t> KVBB 6.40 </t>
  </si>
  <si>
    <t>2425275.55 </t>
  </si>
  <si>
    <t> 30.01.1928 01:12 </t>
  </si>
  <si>
    <t> KVBB 6.41 </t>
  </si>
  <si>
    <t>2425325.32 </t>
  </si>
  <si>
    <t> 19.03.1928 19:40 </t>
  </si>
  <si>
    <t> 0.08 </t>
  </si>
  <si>
    <t> KVBB 6.51 </t>
  </si>
  <si>
    <t>2425335.33 </t>
  </si>
  <si>
    <t> 29.03.1928 19:55 </t>
  </si>
  <si>
    <t> 0.12 </t>
  </si>
  <si>
    <t>2425561.43 </t>
  </si>
  <si>
    <t> 10.11.1928 22:19 </t>
  </si>
  <si>
    <t> 0.21 </t>
  </si>
  <si>
    <t>2425644.36 </t>
  </si>
  <si>
    <t> 01.02.1929 20:38 </t>
  </si>
  <si>
    <t> 0.05 </t>
  </si>
  <si>
    <t>2433305.30 </t>
  </si>
  <si>
    <t> 23.01.1950 19:12 </t>
  </si>
  <si>
    <t> -0.02 </t>
  </si>
  <si>
    <t> R.B.Teplitzkaja </t>
  </si>
  <si>
    <t> PZ 8.291 </t>
  </si>
  <si>
    <t>2433330.26 </t>
  </si>
  <si>
    <t> 17.02.1950 18:14 </t>
  </si>
  <si>
    <t> 0.02 </t>
  </si>
  <si>
    <t>2433358.38 </t>
  </si>
  <si>
    <t> 17.03.1950 21:07 </t>
  </si>
  <si>
    <t> -0.12 </t>
  </si>
  <si>
    <t>2433360.26 </t>
  </si>
  <si>
    <t> 19.03.1950 18:14 </t>
  </si>
  <si>
    <t> 0.10 </t>
  </si>
  <si>
    <t>2433649.32 </t>
  </si>
  <si>
    <t> 02.01.1951 19:40 </t>
  </si>
  <si>
    <t> 0.00 </t>
  </si>
  <si>
    <t>2433689.24 </t>
  </si>
  <si>
    <t> 11.02.1951 17:45 </t>
  </si>
  <si>
    <t> 0.04 </t>
  </si>
  <si>
    <t>2433747.31 </t>
  </si>
  <si>
    <t> 10.04.1951 19:26 </t>
  </si>
  <si>
    <t> -0.05 </t>
  </si>
  <si>
    <t>2434450.330 </t>
  </si>
  <si>
    <t> 13.03.1953 19:55 </t>
  </si>
  <si>
    <t> 0.016 </t>
  </si>
  <si>
    <t> O.S.Yatsyk </t>
  </si>
  <si>
    <t> CLVO 46.35 </t>
  </si>
  <si>
    <t>2435487.285 </t>
  </si>
  <si>
    <t> 14.01.1956 18:50 </t>
  </si>
  <si>
    <t> -0.008 </t>
  </si>
  <si>
    <t>2435492.211 </t>
  </si>
  <si>
    <t> 19.01.1956 17:03 </t>
  </si>
  <si>
    <t> -0.067 </t>
  </si>
  <si>
    <t>2435924.271 </t>
  </si>
  <si>
    <t> 26.03.1957 18:30 </t>
  </si>
  <si>
    <t> -0.081 </t>
  </si>
  <si>
    <t>2436138.645 </t>
  </si>
  <si>
    <t> 27.10.1957 03:28 </t>
  </si>
  <si>
    <t> -0.083 </t>
  </si>
  <si>
    <t>2436165.307 </t>
  </si>
  <si>
    <t> 22.11.1957 19:22 </t>
  </si>
  <si>
    <t> -0.010 </t>
  </si>
  <si>
    <t>2436966.327 </t>
  </si>
  <si>
    <t> 01.02.1960 19:50 </t>
  </si>
  <si>
    <t> 0.011 </t>
  </si>
  <si>
    <t> T.Berthold </t>
  </si>
  <si>
    <t> MHAR 14.15 </t>
  </si>
  <si>
    <t>2437319.445 </t>
  </si>
  <si>
    <t> 19.01.1961 22:40 </t>
  </si>
  <si>
    <t> -0.009 </t>
  </si>
  <si>
    <t>2437349.359 </t>
  </si>
  <si>
    <t> 18.02.1961 20:36 </t>
  </si>
  <si>
    <t> -0.007 </t>
  </si>
  <si>
    <t>2438406.283 </t>
  </si>
  <si>
    <t> 11.01.1964 18:47 </t>
  </si>
  <si>
    <t> -0.004 </t>
  </si>
  <si>
    <t>2438440.339 </t>
  </si>
  <si>
    <t> 14.02.1964 20:08 </t>
  </si>
  <si>
    <t> -0.015 </t>
  </si>
  <si>
    <t>2439500.469 </t>
  </si>
  <si>
    <t> 09.01.1967 23:15 </t>
  </si>
  <si>
    <t> -0.129 </t>
  </si>
  <si>
    <t> MHAR 22.2 </t>
  </si>
  <si>
    <t>2440477.593 </t>
  </si>
  <si>
    <t> 13.09.1969 02:13 </t>
  </si>
  <si>
    <t> -0.157 </t>
  </si>
  <si>
    <t>2440512.601 </t>
  </si>
  <si>
    <t> 18.10.1969 02:25 </t>
  </si>
  <si>
    <t> -0.048 </t>
  </si>
  <si>
    <t>2440532.578 </t>
  </si>
  <si>
    <t> 07.11.1969 01:52 </t>
  </si>
  <si>
    <t> -0.013 </t>
  </si>
  <si>
    <t>2441240.526 </t>
  </si>
  <si>
    <t> 16.10.1971 00:37 </t>
  </si>
  <si>
    <t> -0.002 </t>
  </si>
  <si>
    <t>2442016.463 </t>
  </si>
  <si>
    <t> 29.11.1973 23:06 </t>
  </si>
  <si>
    <t> -0.137 </t>
  </si>
  <si>
    <t>2442714.454 </t>
  </si>
  <si>
    <t> 28.10.1975 22:53 </t>
  </si>
  <si>
    <t> -0.112 </t>
  </si>
  <si>
    <t>2443192.357 </t>
  </si>
  <si>
    <t> 17.02.1977 20:34 </t>
  </si>
  <si>
    <t> 0.017 </t>
  </si>
  <si>
    <t>2444118.597 </t>
  </si>
  <si>
    <t> 02.09.1979 02:19 </t>
  </si>
  <si>
    <t> -0.210 </t>
  </si>
  <si>
    <t>2445368.297 </t>
  </si>
  <si>
    <t> 02.02.1983 19:07 </t>
  </si>
  <si>
    <t> -0.202 </t>
  </si>
  <si>
    <t>2445647.515 </t>
  </si>
  <si>
    <t> 09.11.1983 00:21 </t>
  </si>
  <si>
    <t> -0.170 </t>
  </si>
  <si>
    <t>2447211.456 </t>
  </si>
  <si>
    <t> 19.02.1988 22:56 </t>
  </si>
  <si>
    <t> -0.006 </t>
  </si>
  <si>
    <t>V </t>
  </si>
  <si>
    <t> H.Peter </t>
  </si>
  <si>
    <t> BBS 87 </t>
  </si>
  <si>
    <t>2447231.426 </t>
  </si>
  <si>
    <t> 10.03.1988 22:13 </t>
  </si>
  <si>
    <t> 0.022 </t>
  </si>
  <si>
    <t> BBS 88 </t>
  </si>
  <si>
    <t>2447595.356 </t>
  </si>
  <si>
    <t> 09.03.1989 20:32 </t>
  </si>
  <si>
    <t> 0.013 </t>
  </si>
  <si>
    <t> BBS 91 </t>
  </si>
  <si>
    <t>2447914.444 </t>
  </si>
  <si>
    <t> 22.01.1990 22:39 </t>
  </si>
  <si>
    <t> 0.031 </t>
  </si>
  <si>
    <t> BBS 94 </t>
  </si>
  <si>
    <t>2448652.303 </t>
  </si>
  <si>
    <t> 30.01.1992 19:16 </t>
  </si>
  <si>
    <t> 0.040 </t>
  </si>
  <si>
    <t> BBS 100 </t>
  </si>
  <si>
    <t>2449104.322 </t>
  </si>
  <si>
    <t> 26.04.1993 19:43 </t>
  </si>
  <si>
    <t> 0.042 </t>
  </si>
  <si>
    <t> BBS 104 </t>
  </si>
  <si>
    <t>2450517.4631 </t>
  </si>
  <si>
    <t> 09.03.1997 23:06 </t>
  </si>
  <si>
    <t> -0.1978 </t>
  </si>
  <si>
    <t>E </t>
  </si>
  <si>
    <t>o</t>
  </si>
  <si>
    <t> P.Frank </t>
  </si>
  <si>
    <t>BAVM 173 </t>
  </si>
  <si>
    <t>2453444.6960 </t>
  </si>
  <si>
    <t> 15.03.2005 04:42 </t>
  </si>
  <si>
    <t> -0.2682 </t>
  </si>
  <si>
    <t>?</t>
  </si>
  <si>
    <t> R.Nelson </t>
  </si>
  <si>
    <t>IBVS 5672 </t>
  </si>
  <si>
    <t>2453740.919 </t>
  </si>
  <si>
    <t> 05.01.2006 10:03 </t>
  </si>
  <si>
    <t> 0.150 </t>
  </si>
  <si>
    <t> K.Nagai et al. </t>
  </si>
  <si>
    <t>VSB 45 </t>
  </si>
  <si>
    <t>2453755.4517 </t>
  </si>
  <si>
    <t> 19.01.2006 22:50 </t>
  </si>
  <si>
    <t> -0.2736 </t>
  </si>
  <si>
    <t>C </t>
  </si>
  <si>
    <t>-I</t>
  </si>
  <si>
    <t>BAVM 178 </t>
  </si>
  <si>
    <t>2454173.4345 </t>
  </si>
  <si>
    <t> 13.03.2007 22:25 </t>
  </si>
  <si>
    <t>9467.5</t>
  </si>
  <si>
    <t> -0.2395 </t>
  </si>
  <si>
    <t>BAVM 186 </t>
  </si>
  <si>
    <t>2454381.9507 </t>
  </si>
  <si>
    <t> 08.10.2007 10:49 </t>
  </si>
  <si>
    <t>9593</t>
  </si>
  <si>
    <t> -0.2823 </t>
  </si>
  <si>
    <t>R</t>
  </si>
  <si>
    <t>IBVS 5820 </t>
  </si>
  <si>
    <t>2454466.6994 </t>
  </si>
  <si>
    <t> 01.01.2008 04:47 </t>
  </si>
  <si>
    <t>9644</t>
  </si>
  <si>
    <t> -0.2866 </t>
  </si>
  <si>
    <t> C.Lacy </t>
  </si>
  <si>
    <t>IBVS 5910 </t>
  </si>
  <si>
    <t>2454507.4215 </t>
  </si>
  <si>
    <t> 10.02.2008 22:06 </t>
  </si>
  <si>
    <t>9668.5</t>
  </si>
  <si>
    <t> -0.2792 </t>
  </si>
  <si>
    <t> F.Agerer </t>
  </si>
  <si>
    <t>BAVM 201 </t>
  </si>
  <si>
    <t>2454532.3370 </t>
  </si>
  <si>
    <t> 06.03.2008 20:05 </t>
  </si>
  <si>
    <t>9683.5</t>
  </si>
  <si>
    <t> -0.2911 </t>
  </si>
  <si>
    <t>2454735.9134 </t>
  </si>
  <si>
    <t> 26.09.2008 09:55 </t>
  </si>
  <si>
    <t>9806</t>
  </si>
  <si>
    <t> -0.2881 </t>
  </si>
  <si>
    <t>2454857.2300 </t>
  </si>
  <si>
    <t> 25.01.2009 17:31 </t>
  </si>
  <si>
    <t>9879</t>
  </si>
  <si>
    <t> -0.2847 </t>
  </si>
  <si>
    <t> H.Itoh </t>
  </si>
  <si>
    <t>VSB 50 </t>
  </si>
  <si>
    <t>2455570.1415 </t>
  </si>
  <si>
    <t> 08.01.2011 15:23 </t>
  </si>
  <si>
    <t>10308</t>
  </si>
  <si>
    <t> -0.2957 </t>
  </si>
  <si>
    <t>VSB 53 </t>
  </si>
  <si>
    <t>2455578.4678 </t>
  </si>
  <si>
    <t> 16.01.2011 23:13 </t>
  </si>
  <si>
    <t>10313</t>
  </si>
  <si>
    <t> -0.2786 </t>
  </si>
  <si>
    <t> U.Schmidt </t>
  </si>
  <si>
    <t>BAVM 215 </t>
  </si>
  <si>
    <t>2455895.8546 </t>
  </si>
  <si>
    <t> 30.11.2011 08:30 </t>
  </si>
  <si>
    <t>10504</t>
  </si>
  <si>
    <t> -0.3002 </t>
  </si>
  <si>
    <t> R.Diethelm </t>
  </si>
  <si>
    <t>IBVS 6011 </t>
  </si>
  <si>
    <t>2455944.0460 </t>
  </si>
  <si>
    <t> 17.01.2012 13:06 </t>
  </si>
  <si>
    <t>10533</t>
  </si>
  <si>
    <t> -0.3017 </t>
  </si>
  <si>
    <t>Rc</t>
  </si>
  <si>
    <t> K.Shiokawa </t>
  </si>
  <si>
    <t>VSB 55 </t>
  </si>
  <si>
    <t>2455945.7102 </t>
  </si>
  <si>
    <t> 19.01.2012 05:02 </t>
  </si>
  <si>
    <t>10534</t>
  </si>
  <si>
    <t> -0.2993 </t>
  </si>
  <si>
    <t>IBVS 6050 </t>
  </si>
  <si>
    <t>BAD?</t>
  </si>
  <si>
    <t>AC Gem / GSC 1337-0486</t>
  </si>
  <si>
    <t>OEJV 0179</t>
  </si>
  <si>
    <t>VSB 069</t>
  </si>
  <si>
    <t>JBAV, 76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</si>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</sst>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5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/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22" fontId="9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left" vertical="center" wrapText="1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6" fontId="37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Gem - O-C Diagr.</a:t>
            </a:r>
          </a:p>
        </c:rich>
      </c:tx>
      <c:layout>
        <c:manualLayout>
          <c:xMode val="edge"/>
          <c:yMode val="edge"/>
          <c:x val="0.37461557305336834"/>
          <c:y val="4.4165469882302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263342082238"/>
          <c:y val="0.15525859267591552"/>
          <c:w val="0.81812003499562558"/>
          <c:h val="0.61767445735949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  <c:pt idx="68">
                  <c:v>12950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8-461D-A5ED-C9231E6272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  <c:pt idx="68">
                  <c:v>12950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0.3360463000008167</c:v>
                </c:pt>
                <c:pt idx="1">
                  <c:v>0.25284015999932308</c:v>
                </c:pt>
                <c:pt idx="2">
                  <c:v>0.21983063999869046</c:v>
                </c:pt>
                <c:pt idx="3">
                  <c:v>0.16563608000069507</c:v>
                </c:pt>
                <c:pt idx="4">
                  <c:v>0.1380167999996047</c:v>
                </c:pt>
                <c:pt idx="5">
                  <c:v>0.16683707999982289</c:v>
                </c:pt>
                <c:pt idx="6">
                  <c:v>8.2112880001659505E-2</c:v>
                </c:pt>
                <c:pt idx="7">
                  <c:v>0.1211680400010664</c:v>
                </c:pt>
                <c:pt idx="8">
                  <c:v>0.21308500000304775</c:v>
                </c:pt>
                <c:pt idx="9">
                  <c:v>5.1878000002034241E-2</c:v>
                </c:pt>
                <c:pt idx="10">
                  <c:v>-1.7407399995136075E-2</c:v>
                </c:pt>
                <c:pt idx="11">
                  <c:v>1.523050000105286E-2</c:v>
                </c:pt>
                <c:pt idx="12">
                  <c:v>-0.11577988000499317</c:v>
                </c:pt>
                <c:pt idx="13">
                  <c:v>0.1023959800004377</c:v>
                </c:pt>
                <c:pt idx="14">
                  <c:v>4.9956200018641539E-3</c:v>
                </c:pt>
                <c:pt idx="15">
                  <c:v>4.1216259996872395E-2</c:v>
                </c:pt>
                <c:pt idx="16">
                  <c:v>-5.2628639998147264E-2</c:v>
                </c:pt>
                <c:pt idx="17">
                  <c:v>1.5760139998747036E-2</c:v>
                </c:pt>
                <c:pt idx="18">
                  <c:v>-7.5032199965789914E-3</c:v>
                </c:pt>
                <c:pt idx="19">
                  <c:v>-6.6975639994780067E-2</c:v>
                </c:pt>
                <c:pt idx="20">
                  <c:v>-8.125203999952646E-2</c:v>
                </c:pt>
                <c:pt idx="21">
                  <c:v>-8.2566100005351473E-2</c:v>
                </c:pt>
                <c:pt idx="22">
                  <c:v>-9.7523399963392876E-3</c:v>
                </c:pt>
                <c:pt idx="23">
                  <c:v>1.1012179995304905E-2</c:v>
                </c:pt>
                <c:pt idx="24">
                  <c:v>-8.6175699980231002E-3</c:v>
                </c:pt>
                <c:pt idx="25">
                  <c:v>-7.4520900016068481E-3</c:v>
                </c:pt>
                <c:pt idx="26">
                  <c:v>-3.6051299975952134E-3</c:v>
                </c:pt>
                <c:pt idx="27">
                  <c:v>-1.4999999999417923E-2</c:v>
                </c:pt>
                <c:pt idx="29">
                  <c:v>-0.12880132000282174</c:v>
                </c:pt>
                <c:pt idx="30">
                  <c:v>-0.15739563999522943</c:v>
                </c:pt>
                <c:pt idx="31">
                  <c:v>-4.7702579999167938E-2</c:v>
                </c:pt>
                <c:pt idx="32">
                  <c:v>-1.2592259998200461E-2</c:v>
                </c:pt>
                <c:pt idx="33">
                  <c:v>-1.6758999990997836E-3</c:v>
                </c:pt>
                <c:pt idx="34">
                  <c:v>-0.13654927999596111</c:v>
                </c:pt>
                <c:pt idx="35">
                  <c:v>-0.11168808000365971</c:v>
                </c:pt>
                <c:pt idx="36">
                  <c:v>1.6871670006366912E-2</c:v>
                </c:pt>
                <c:pt idx="37">
                  <c:v>-0.21008638000057545</c:v>
                </c:pt>
                <c:pt idx="38">
                  <c:v>-0.20183966000331566</c:v>
                </c:pt>
                <c:pt idx="39">
                  <c:v>-0.17029517999617383</c:v>
                </c:pt>
                <c:pt idx="40">
                  <c:v>-5.8109200035687536E-3</c:v>
                </c:pt>
                <c:pt idx="41">
                  <c:v>2.2299399999610614E-2</c:v>
                </c:pt>
                <c:pt idx="42">
                  <c:v>1.2812740002118517E-2</c:v>
                </c:pt>
                <c:pt idx="43">
                  <c:v>3.0577860001358204E-2</c:v>
                </c:pt>
                <c:pt idx="46">
                  <c:v>-0.19783744999585906</c:v>
                </c:pt>
                <c:pt idx="47">
                  <c:v>-0.26816005999717163</c:v>
                </c:pt>
                <c:pt idx="49">
                  <c:v>-0.27357424000365427</c:v>
                </c:pt>
                <c:pt idx="50">
                  <c:v>-0.23954544999287464</c:v>
                </c:pt>
                <c:pt idx="51">
                  <c:v>-0.28227501999936067</c:v>
                </c:pt>
                <c:pt idx="52">
                  <c:v>-0.286606159999792</c:v>
                </c:pt>
                <c:pt idx="53">
                  <c:v>-0.279197590003605</c:v>
                </c:pt>
                <c:pt idx="54">
                  <c:v>-0.29105969000374898</c:v>
                </c:pt>
                <c:pt idx="55">
                  <c:v>-0.28811683999811066</c:v>
                </c:pt>
                <c:pt idx="56">
                  <c:v>-0.28467905999423238</c:v>
                </c:pt>
                <c:pt idx="57">
                  <c:v>-0.29573512000206392</c:v>
                </c:pt>
                <c:pt idx="58">
                  <c:v>-0.27855581999756396</c:v>
                </c:pt>
                <c:pt idx="59">
                  <c:v>-0.30016656000225339</c:v>
                </c:pt>
                <c:pt idx="60">
                  <c:v>-0.30166661999828648</c:v>
                </c:pt>
                <c:pt idx="61">
                  <c:v>-0.29929075999825727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8-461D-A5ED-C9231E6272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  <c:pt idx="68">
                  <c:v>12950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38-461D-A5ED-C9231E6272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  <c:pt idx="68">
                  <c:v>12950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4">
                  <c:v>3.9659699999901932E-2</c:v>
                </c:pt>
                <c:pt idx="45">
                  <c:v>4.2493619999731891E-2</c:v>
                </c:pt>
                <c:pt idx="62">
                  <c:v>-0.31791255999269197</c:v>
                </c:pt>
                <c:pt idx="63">
                  <c:v>-0.32085163999727229</c:v>
                </c:pt>
                <c:pt idx="64">
                  <c:v>-0.33235307999711949</c:v>
                </c:pt>
                <c:pt idx="65">
                  <c:v>-0.3436744999999064</c:v>
                </c:pt>
                <c:pt idx="66">
                  <c:v>-0.34559531999548199</c:v>
                </c:pt>
                <c:pt idx="67">
                  <c:v>-0.34405567000067094</c:v>
                </c:pt>
                <c:pt idx="68">
                  <c:v>-0.35441300000093179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38-461D-A5ED-C9231E6272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  <c:pt idx="68">
                  <c:v>12950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38-461D-A5ED-C9231E6272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  <c:pt idx="68">
                  <c:v>12950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38-461D-A5ED-C9231E6272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  <c:pt idx="68">
                  <c:v>12950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38-461D-A5ED-C9231E6272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  <c:pt idx="68">
                  <c:v>12950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0.27404127683422025</c:v>
                </c:pt>
                <c:pt idx="1">
                  <c:v>0.24380644601641366</c:v>
                </c:pt>
                <c:pt idx="2">
                  <c:v>0.21433852481965832</c:v>
                </c:pt>
                <c:pt idx="3">
                  <c:v>0.19797778623723261</c:v>
                </c:pt>
                <c:pt idx="4">
                  <c:v>0.13634614032729947</c:v>
                </c:pt>
                <c:pt idx="5">
                  <c:v>0.13174468260099226</c:v>
                </c:pt>
                <c:pt idx="6">
                  <c:v>0.13104749203640026</c:v>
                </c:pt>
                <c:pt idx="7">
                  <c:v>0.13090805392348187</c:v>
                </c:pt>
                <c:pt idx="8">
                  <c:v>0.12774745669733145</c:v>
                </c:pt>
                <c:pt idx="9">
                  <c:v>0.12658547242301144</c:v>
                </c:pt>
                <c:pt idx="10">
                  <c:v>1.9450522330706793E-2</c:v>
                </c:pt>
                <c:pt idx="11">
                  <c:v>1.9101927048410794E-2</c:v>
                </c:pt>
                <c:pt idx="12">
                  <c:v>1.8706852395141998E-2</c:v>
                </c:pt>
                <c:pt idx="13">
                  <c:v>1.86836127096556E-2</c:v>
                </c:pt>
                <c:pt idx="14">
                  <c:v>1.463990743502197E-2</c:v>
                </c:pt>
                <c:pt idx="15">
                  <c:v>1.4082154983348361E-2</c:v>
                </c:pt>
                <c:pt idx="16">
                  <c:v>1.3268765991324358E-2</c:v>
                </c:pt>
                <c:pt idx="17">
                  <c:v>3.4383790305771086E-3</c:v>
                </c:pt>
                <c:pt idx="18">
                  <c:v>-1.1063184712936582E-2</c:v>
                </c:pt>
                <c:pt idx="19">
                  <c:v>-1.1132903769395776E-2</c:v>
                </c:pt>
                <c:pt idx="20">
                  <c:v>-1.7175221995859816E-2</c:v>
                </c:pt>
                <c:pt idx="21">
                  <c:v>-2.0173141423605434E-2</c:v>
                </c:pt>
                <c:pt idx="22">
                  <c:v>-2.0544976391387831E-2</c:v>
                </c:pt>
                <c:pt idx="23">
                  <c:v>-3.17465047958327E-2</c:v>
                </c:pt>
                <c:pt idx="24">
                  <c:v>-3.6684937961692726E-2</c:v>
                </c:pt>
                <c:pt idx="25">
                  <c:v>-3.7103252300447927E-2</c:v>
                </c:pt>
                <c:pt idx="26">
                  <c:v>-5.1883692269798415E-2</c:v>
                </c:pt>
                <c:pt idx="27">
                  <c:v>-5.2360105822269618E-2</c:v>
                </c:pt>
                <c:pt idx="28">
                  <c:v>-5.2360105822269618E-2</c:v>
                </c:pt>
                <c:pt idx="29">
                  <c:v>-6.7187025162592909E-2</c:v>
                </c:pt>
                <c:pt idx="30">
                  <c:v>-8.0851960228596184E-2</c:v>
                </c:pt>
                <c:pt idx="31">
                  <c:v>-8.1339993623810586E-2</c:v>
                </c:pt>
                <c:pt idx="32">
                  <c:v>-8.1618869849647391E-2</c:v>
                </c:pt>
                <c:pt idx="33">
                  <c:v>-9.1518975866853841E-2</c:v>
                </c:pt>
                <c:pt idx="34">
                  <c:v>-0.10237190898900271</c:v>
                </c:pt>
                <c:pt idx="35">
                  <c:v>-0.11213257689329076</c:v>
                </c:pt>
                <c:pt idx="36">
                  <c:v>-0.11881398647063081</c:v>
                </c:pt>
                <c:pt idx="37">
                  <c:v>-0.13177011112929887</c:v>
                </c:pt>
                <c:pt idx="38">
                  <c:v>-0.1492463546150718</c:v>
                </c:pt>
                <c:pt idx="39">
                  <c:v>-0.15315062177678701</c:v>
                </c:pt>
                <c:pt idx="40">
                  <c:v>-0.17501916581948951</c:v>
                </c:pt>
                <c:pt idx="41">
                  <c:v>-0.17529804204532634</c:v>
                </c:pt>
                <c:pt idx="42">
                  <c:v>-0.18038753316684797</c:v>
                </c:pt>
                <c:pt idx="43">
                  <c:v>-0.18484955278023679</c:v>
                </c:pt>
                <c:pt idx="44">
                  <c:v>-0.19516797313619844</c:v>
                </c:pt>
                <c:pt idx="45">
                  <c:v>-0.20148916758849927</c:v>
                </c:pt>
                <c:pt idx="46">
                  <c:v>-0.22125452009468261</c:v>
                </c:pt>
                <c:pt idx="47">
                  <c:v>-0.26219122607897644</c:v>
                </c:pt>
                <c:pt idx="48">
                  <c:v>-0.26632789009555563</c:v>
                </c:pt>
                <c:pt idx="49">
                  <c:v>-0.26653704726493327</c:v>
                </c:pt>
                <c:pt idx="50">
                  <c:v>-0.27238182816476292</c:v>
                </c:pt>
                <c:pt idx="51">
                  <c:v>-0.27529840869330613</c:v>
                </c:pt>
                <c:pt idx="52">
                  <c:v>-0.27648363265311254</c:v>
                </c:pt>
                <c:pt idx="53">
                  <c:v>-0.27705300494752932</c:v>
                </c:pt>
                <c:pt idx="54">
                  <c:v>-0.2774016002298253</c:v>
                </c:pt>
                <c:pt idx="55">
                  <c:v>-0.28024846170190931</c:v>
                </c:pt>
                <c:pt idx="56">
                  <c:v>-0.28194495874241654</c:v>
                </c:pt>
                <c:pt idx="57">
                  <c:v>-0.29191478381608221</c:v>
                </c:pt>
                <c:pt idx="58">
                  <c:v>-0.2920309822435142</c:v>
                </c:pt>
                <c:pt idx="59">
                  <c:v>-0.29646976217141663</c:v>
                </c:pt>
                <c:pt idx="60">
                  <c:v>-0.29714371305052223</c:v>
                </c:pt>
                <c:pt idx="61">
                  <c:v>-0.29716695273600863</c:v>
                </c:pt>
                <c:pt idx="62">
                  <c:v>-0.31738547910917675</c:v>
                </c:pt>
                <c:pt idx="63">
                  <c:v>-0.32254468928715757</c:v>
                </c:pt>
                <c:pt idx="64">
                  <c:v>-0.33871951038569209</c:v>
                </c:pt>
                <c:pt idx="65">
                  <c:v>-0.34692311936239134</c:v>
                </c:pt>
                <c:pt idx="66">
                  <c:v>-0.34838721954803453</c:v>
                </c:pt>
                <c:pt idx="67">
                  <c:v>-0.34844531876175056</c:v>
                </c:pt>
                <c:pt idx="68">
                  <c:v>-0.35331403287115137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38-461D-A5ED-C9231E62723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  <c:pt idx="68">
                  <c:v>12950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0">
                  <c:v>-5.8109200035687536E-3</c:v>
                </c:pt>
                <c:pt idx="41">
                  <c:v>2.2299399999610614E-2</c:v>
                </c:pt>
                <c:pt idx="42">
                  <c:v>1.2812740002118517E-2</c:v>
                </c:pt>
                <c:pt idx="43">
                  <c:v>3.0577860001358204E-2</c:v>
                </c:pt>
                <c:pt idx="44">
                  <c:v>3.9659699999901932E-2</c:v>
                </c:pt>
                <c:pt idx="45">
                  <c:v>4.2493619999731891E-2</c:v>
                </c:pt>
                <c:pt idx="48">
                  <c:v>0.15014302000054158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38-461D-A5ED-C9231E62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34624"/>
        <c:axId val="1"/>
      </c:scatterChart>
      <c:valAx>
        <c:axId val="71893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4.7001574803149607E-2"/>
              <c:y val="0.87496062992125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605774278215228E-2"/>
              <c:y val="0.3123125175390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3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000174978127729E-2"/>
          <c:y val="0.80188910348470599"/>
          <c:w val="0.90833473315835511"/>
          <c:h val="0.163522672873438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Gem - O-C Diagr.</a:t>
            </a:r>
          </a:p>
        </c:rich>
      </c:tx>
      <c:layout>
        <c:manualLayout>
          <c:xMode val="edge"/>
          <c:yMode val="edge"/>
          <c:x val="0.37734089508907848"/>
          <c:y val="4.361528428578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23553581560514"/>
          <c:y val="0.20249916168853374"/>
          <c:w val="0.74536489145330909"/>
          <c:h val="0.39876757994049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15-471A-8E9A-7B370BF3072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1">
                  <c:v>-5.8109200035687536E-3</c:v>
                </c:pt>
                <c:pt idx="12">
                  <c:v>2.2299399999610614E-2</c:v>
                </c:pt>
                <c:pt idx="13">
                  <c:v>1.2812740002118517E-2</c:v>
                </c:pt>
                <c:pt idx="14">
                  <c:v>3.0577860001358204E-2</c:v>
                </c:pt>
                <c:pt idx="15">
                  <c:v>3.9659699999901932E-2</c:v>
                </c:pt>
                <c:pt idx="16">
                  <c:v>4.2493619999731891E-2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15-471A-8E9A-7B370BF3072D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8">
                  <c:v>-0.24235247000615345</c:v>
                </c:pt>
                <c:pt idx="19">
                  <c:v>-0.25646454000525409</c:v>
                </c:pt>
                <c:pt idx="20">
                  <c:v>-0.25015428000187967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15-471A-8E9A-7B370BF3072D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21">
                  <c:v>-0.26816005999717163</c:v>
                </c:pt>
                <c:pt idx="29">
                  <c:v>-0.29316349000146147</c:v>
                </c:pt>
                <c:pt idx="33">
                  <c:v>-0.29929075999825727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15-471A-8E9A-7B370BF3072D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  <c:pt idx="17">
                  <c:v>-0.19783744999585906</c:v>
                </c:pt>
                <c:pt idx="22">
                  <c:v>-0.27357424000365427</c:v>
                </c:pt>
                <c:pt idx="23">
                  <c:v>-0.23954544999287464</c:v>
                </c:pt>
                <c:pt idx="24">
                  <c:v>-0.28227501999936067</c:v>
                </c:pt>
                <c:pt idx="25">
                  <c:v>-0.286606159999792</c:v>
                </c:pt>
                <c:pt idx="26">
                  <c:v>-0.279197590003605</c:v>
                </c:pt>
                <c:pt idx="27">
                  <c:v>-0.29105969000374898</c:v>
                </c:pt>
                <c:pt idx="28">
                  <c:v>-0.28811683999811066</c:v>
                </c:pt>
                <c:pt idx="30">
                  <c:v>-0.29296348999923794</c:v>
                </c:pt>
                <c:pt idx="31">
                  <c:v>-0.27855581999756396</c:v>
                </c:pt>
                <c:pt idx="32">
                  <c:v>-0.30016656000225339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15-471A-8E9A-7B370BF3072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15-471A-8E9A-7B370BF3072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0">
                  <c:v>5.4995620004774537E-2</c:v>
                </c:pt>
                <c:pt idx="2">
                  <c:v>-0.15739563999522943</c:v>
                </c:pt>
                <c:pt idx="3">
                  <c:v>-4.7702579999167938E-2</c:v>
                </c:pt>
                <c:pt idx="4">
                  <c:v>-1.2592259998200461E-2</c:v>
                </c:pt>
                <c:pt idx="5">
                  <c:v>-1.6758999990997836E-3</c:v>
                </c:pt>
                <c:pt idx="6">
                  <c:v>-0.13654927999596111</c:v>
                </c:pt>
                <c:pt idx="7">
                  <c:v>-0.11168808000365971</c:v>
                </c:pt>
                <c:pt idx="8">
                  <c:v>-0.21008638000057545</c:v>
                </c:pt>
                <c:pt idx="9">
                  <c:v>-0.20183966000331566</c:v>
                </c:pt>
                <c:pt idx="10">
                  <c:v>-0.17029517999617383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15-471A-8E9A-7B370BF3072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3.2543064408545083E-2</c:v>
                </c:pt>
                <c:pt idx="1">
                  <c:v>-4.0386700037098044E-2</c:v>
                </c:pt>
                <c:pt idx="2">
                  <c:v>-7.1400189877666373E-2</c:v>
                </c:pt>
                <c:pt idx="3">
                  <c:v>-7.1931416049486871E-2</c:v>
                </c:pt>
                <c:pt idx="4">
                  <c:v>-7.2234973861955737E-2</c:v>
                </c:pt>
                <c:pt idx="5">
                  <c:v>-8.3011276204600193E-2</c:v>
                </c:pt>
                <c:pt idx="6">
                  <c:v>-9.4824734406513234E-2</c:v>
                </c:pt>
                <c:pt idx="7">
                  <c:v>-0.10544925784292328</c:v>
                </c:pt>
                <c:pt idx="8">
                  <c:v>-0.12682478713760537</c:v>
                </c:pt>
                <c:pt idx="9">
                  <c:v>-0.14584774338565379</c:v>
                </c:pt>
                <c:pt idx="10">
                  <c:v>-0.1500975527602178</c:v>
                </c:pt>
                <c:pt idx="11">
                  <c:v>-0.17390154455465076</c:v>
                </c:pt>
                <c:pt idx="12">
                  <c:v>-0.17420510236711961</c:v>
                </c:pt>
                <c:pt idx="13">
                  <c:v>-0.17974503244467627</c:v>
                </c:pt>
                <c:pt idx="14">
                  <c:v>-0.18460195744417798</c:v>
                </c:pt>
                <c:pt idx="15">
                  <c:v>-0.19583359650552573</c:v>
                </c:pt>
                <c:pt idx="16">
                  <c:v>-0.20271424025481985</c:v>
                </c:pt>
                <c:pt idx="17">
                  <c:v>-0.22422890021355016</c:v>
                </c:pt>
                <c:pt idx="18">
                  <c:v>-0.23922971544638622</c:v>
                </c:pt>
                <c:pt idx="19">
                  <c:v>-0.23924236368857243</c:v>
                </c:pt>
                <c:pt idx="20">
                  <c:v>-0.24027951954784102</c:v>
                </c:pt>
                <c:pt idx="21">
                  <c:v>-0.26878865743554126</c:v>
                </c:pt>
                <c:pt idx="22">
                  <c:v>-0.27351910001318097</c:v>
                </c:pt>
                <c:pt idx="23">
                  <c:v>-0.27988116583284078</c:v>
                </c:pt>
                <c:pt idx="24">
                  <c:v>-0.28305587462157761</c:v>
                </c:pt>
                <c:pt idx="25">
                  <c:v>-0.28434599532457028</c:v>
                </c:pt>
                <c:pt idx="26">
                  <c:v>-0.2849657591916942</c:v>
                </c:pt>
                <c:pt idx="27">
                  <c:v>-0.28534520645728023</c:v>
                </c:pt>
                <c:pt idx="28">
                  <c:v>-0.28844402579289985</c:v>
                </c:pt>
                <c:pt idx="29">
                  <c:v>-0.28964560880058909</c:v>
                </c:pt>
                <c:pt idx="30">
                  <c:v>-0.28964560880058909</c:v>
                </c:pt>
                <c:pt idx="31">
                  <c:v>-0.30126934336970906</c:v>
                </c:pt>
                <c:pt idx="32">
                  <c:v>-0.30610097188483842</c:v>
                </c:pt>
                <c:pt idx="33">
                  <c:v>-0.30685986641601054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15-471A-8E9A-7B370BF3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37504"/>
        <c:axId val="1"/>
      </c:scatterChart>
      <c:valAx>
        <c:axId val="718937504"/>
        <c:scaling>
          <c:orientation val="minMax"/>
          <c:max val="11000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731152576989"/>
              <c:y val="0.75703524789462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  <c:min val="-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8360213011959E-2"/>
              <c:y val="0.30842181537123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3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292621380526789"/>
          <c:y val="0.80981595092024539"/>
          <c:w val="0.91961482306673081"/>
          <c:h val="0.96932515337423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Gem - O-C Diagr.</a:t>
            </a:r>
          </a:p>
        </c:rich>
      </c:tx>
      <c:layout>
        <c:manualLayout>
          <c:xMode val="edge"/>
          <c:yMode val="edge"/>
          <c:x val="0.37540590173832106"/>
          <c:y val="4.347997784680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54832531748655"/>
          <c:y val="0.20187043298379687"/>
          <c:w val="0.74292530961142023"/>
          <c:h val="0.4627491463782420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F-4690-B50A-C98C4391D9C6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1">
                  <c:v>-5.8109200035687536E-3</c:v>
                </c:pt>
                <c:pt idx="12">
                  <c:v>2.2299399999610614E-2</c:v>
                </c:pt>
                <c:pt idx="13">
                  <c:v>1.2812740002118517E-2</c:v>
                </c:pt>
                <c:pt idx="14">
                  <c:v>3.0577860001358204E-2</c:v>
                </c:pt>
                <c:pt idx="15">
                  <c:v>3.9659699999901932E-2</c:v>
                </c:pt>
                <c:pt idx="16">
                  <c:v>4.2493619999731891E-2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6F-4690-B50A-C98C4391D9C6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8">
                  <c:v>-0.24235247000615345</c:v>
                </c:pt>
                <c:pt idx="19">
                  <c:v>-0.25646454000525409</c:v>
                </c:pt>
                <c:pt idx="20">
                  <c:v>-0.25015428000187967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6F-4690-B50A-C98C4391D9C6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21">
                  <c:v>-0.26816005999717163</c:v>
                </c:pt>
                <c:pt idx="29">
                  <c:v>-0.29316349000146147</c:v>
                </c:pt>
                <c:pt idx="33">
                  <c:v>-0.29929075999825727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6F-4690-B50A-C98C4391D9C6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  <c:pt idx="17">
                  <c:v>-0.19783744999585906</c:v>
                </c:pt>
                <c:pt idx="22">
                  <c:v>-0.27357424000365427</c:v>
                </c:pt>
                <c:pt idx="23">
                  <c:v>-0.23954544999287464</c:v>
                </c:pt>
                <c:pt idx="24">
                  <c:v>-0.28227501999936067</c:v>
                </c:pt>
                <c:pt idx="25">
                  <c:v>-0.286606159999792</c:v>
                </c:pt>
                <c:pt idx="26">
                  <c:v>-0.279197590003605</c:v>
                </c:pt>
                <c:pt idx="27">
                  <c:v>-0.29105969000374898</c:v>
                </c:pt>
                <c:pt idx="28">
                  <c:v>-0.28811683999811066</c:v>
                </c:pt>
                <c:pt idx="30">
                  <c:v>-0.29296348999923794</c:v>
                </c:pt>
                <c:pt idx="31">
                  <c:v>-0.27855581999756396</c:v>
                </c:pt>
                <c:pt idx="32">
                  <c:v>-0.30016656000225339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6F-4690-B50A-C98C4391D9C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6F-4690-B50A-C98C4391D9C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0">
                  <c:v>5.4995620004774537E-2</c:v>
                </c:pt>
                <c:pt idx="2">
                  <c:v>-0.15739563999522943</c:v>
                </c:pt>
                <c:pt idx="3">
                  <c:v>-4.7702579999167938E-2</c:v>
                </c:pt>
                <c:pt idx="4">
                  <c:v>-1.2592259998200461E-2</c:v>
                </c:pt>
                <c:pt idx="5">
                  <c:v>-1.6758999990997836E-3</c:v>
                </c:pt>
                <c:pt idx="6">
                  <c:v>-0.13654927999596111</c:v>
                </c:pt>
                <c:pt idx="7">
                  <c:v>-0.11168808000365971</c:v>
                </c:pt>
                <c:pt idx="8">
                  <c:v>-0.21008638000057545</c:v>
                </c:pt>
                <c:pt idx="9">
                  <c:v>-0.20183966000331566</c:v>
                </c:pt>
                <c:pt idx="10">
                  <c:v>-0.17029517999617383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6F-4690-B50A-C98C4391D9C6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3.2543064408545083E-2</c:v>
                </c:pt>
                <c:pt idx="1">
                  <c:v>-4.0386700037098044E-2</c:v>
                </c:pt>
                <c:pt idx="2">
                  <c:v>-7.1400189877666373E-2</c:v>
                </c:pt>
                <c:pt idx="3">
                  <c:v>-7.1931416049486871E-2</c:v>
                </c:pt>
                <c:pt idx="4">
                  <c:v>-7.2234973861955737E-2</c:v>
                </c:pt>
                <c:pt idx="5">
                  <c:v>-8.3011276204600193E-2</c:v>
                </c:pt>
                <c:pt idx="6">
                  <c:v>-9.4824734406513234E-2</c:v>
                </c:pt>
                <c:pt idx="7">
                  <c:v>-0.10544925784292328</c:v>
                </c:pt>
                <c:pt idx="8">
                  <c:v>-0.12682478713760537</c:v>
                </c:pt>
                <c:pt idx="9">
                  <c:v>-0.14584774338565379</c:v>
                </c:pt>
                <c:pt idx="10">
                  <c:v>-0.1500975527602178</c:v>
                </c:pt>
                <c:pt idx="11">
                  <c:v>-0.17390154455465076</c:v>
                </c:pt>
                <c:pt idx="12">
                  <c:v>-0.17420510236711961</c:v>
                </c:pt>
                <c:pt idx="13">
                  <c:v>-0.17974503244467627</c:v>
                </c:pt>
                <c:pt idx="14">
                  <c:v>-0.18460195744417798</c:v>
                </c:pt>
                <c:pt idx="15">
                  <c:v>-0.19583359650552573</c:v>
                </c:pt>
                <c:pt idx="16">
                  <c:v>-0.20271424025481985</c:v>
                </c:pt>
                <c:pt idx="17">
                  <c:v>-0.22422890021355016</c:v>
                </c:pt>
                <c:pt idx="18">
                  <c:v>-0.23922971544638622</c:v>
                </c:pt>
                <c:pt idx="19">
                  <c:v>-0.23924236368857243</c:v>
                </c:pt>
                <c:pt idx="20">
                  <c:v>-0.24027951954784102</c:v>
                </c:pt>
                <c:pt idx="21">
                  <c:v>-0.26878865743554126</c:v>
                </c:pt>
                <c:pt idx="22">
                  <c:v>-0.27351910001318097</c:v>
                </c:pt>
                <c:pt idx="23">
                  <c:v>-0.27988116583284078</c:v>
                </c:pt>
                <c:pt idx="24">
                  <c:v>-0.28305587462157761</c:v>
                </c:pt>
                <c:pt idx="25">
                  <c:v>-0.28434599532457028</c:v>
                </c:pt>
                <c:pt idx="26">
                  <c:v>-0.2849657591916942</c:v>
                </c:pt>
                <c:pt idx="27">
                  <c:v>-0.28534520645728023</c:v>
                </c:pt>
                <c:pt idx="28">
                  <c:v>-0.28844402579289985</c:v>
                </c:pt>
                <c:pt idx="29">
                  <c:v>-0.28964560880058909</c:v>
                </c:pt>
                <c:pt idx="30">
                  <c:v>-0.28964560880058909</c:v>
                </c:pt>
                <c:pt idx="31">
                  <c:v>-0.30126934336970906</c:v>
                </c:pt>
                <c:pt idx="32">
                  <c:v>-0.30610097188483842</c:v>
                </c:pt>
                <c:pt idx="33">
                  <c:v>-0.30685986641601054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6F-4690-B50A-C98C4391D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36064"/>
        <c:axId val="1"/>
      </c:scatterChart>
      <c:valAx>
        <c:axId val="71893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71694632420153"/>
              <c:y val="0.75779078073956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557503794453804E-2"/>
              <c:y val="0.338521033494666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3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488817891373802"/>
          <c:y val="0.81345822597863338"/>
          <c:w val="0.91693290734824284"/>
          <c:h val="0.972479953767246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171450</xdr:rowOff>
    </xdr:from>
    <xdr:to>
      <xdr:col>17</xdr:col>
      <xdr:colOff>28575</xdr:colOff>
      <xdr:row>18</xdr:row>
      <xdr:rowOff>200025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FEAEA8A-72DC-6D1E-4344-8490D0B10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276225</xdr:colOff>
      <xdr:row>18</xdr:row>
      <xdr:rowOff>19050</xdr:rowOff>
    </xdr:to>
    <xdr:graphicFrame macro="">
      <xdr:nvGraphicFramePr>
        <xdr:cNvPr id="50187" name="Chart 1">
          <a:extLst>
            <a:ext uri="{FF2B5EF4-FFF2-40B4-BE49-F238E27FC236}">
              <a16:creationId xmlns:a16="http://schemas.microsoft.com/office/drawing/2014/main" id="{93BC4AA9-F3B5-65AC-3671-4775FE93A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504825</xdr:colOff>
      <xdr:row>18</xdr:row>
      <xdr:rowOff>28575</xdr:rowOff>
    </xdr:to>
    <xdr:graphicFrame macro="">
      <xdr:nvGraphicFramePr>
        <xdr:cNvPr id="50188" name="Chart 6">
          <a:extLst>
            <a:ext uri="{FF2B5EF4-FFF2-40B4-BE49-F238E27FC236}">
              <a16:creationId xmlns:a16="http://schemas.microsoft.com/office/drawing/2014/main" id="{A06FDC39-AB1B-0310-8B93-7EE0AC7ED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konkoly.hu/cgi-bin/IBVS?5910" TargetMode="External"/><Relationship Id="rId12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672" TargetMode="External"/><Relationship Id="rId16" Type="http://schemas.openxmlformats.org/officeDocument/2006/relationships/hyperlink" Target="http://www.konkoly.hu/cgi-bin/IBVS?6050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konkoly.hu/cgi-bin/IBVS?5820" TargetMode="External"/><Relationship Id="rId11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910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6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28"/>
  <sheetViews>
    <sheetView tabSelected="1" workbookViewId="0">
      <pane xSplit="14" ySplit="22" topLeftCell="O7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4.140625" style="15" customWidth="1"/>
    <col min="4" max="4" width="9.42578125" style="15" customWidth="1"/>
    <col min="5" max="5" width="8.71093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330</v>
      </c>
    </row>
    <row r="2" spans="1:6" s="61" customFormat="1" ht="12.95" customHeight="1" x14ac:dyDescent="0.2">
      <c r="A2" s="61" t="s">
        <v>26</v>
      </c>
      <c r="B2" s="60" t="s">
        <v>52</v>
      </c>
      <c r="C2" s="62"/>
      <c r="D2" s="62"/>
    </row>
    <row r="3" spans="1:6" s="61" customFormat="1" ht="12.95" customHeight="1" x14ac:dyDescent="0.2">
      <c r="C3" s="62"/>
      <c r="D3" s="62"/>
    </row>
    <row r="4" spans="1:6" s="61" customFormat="1" ht="12.95" customHeight="1" x14ac:dyDescent="0.2">
      <c r="A4" s="63" t="s">
        <v>1</v>
      </c>
      <c r="C4" s="64">
        <v>38440.353999999999</v>
      </c>
      <c r="D4" s="65">
        <v>1.66182414</v>
      </c>
    </row>
    <row r="5" spans="1:6" s="61" customFormat="1" ht="12.95" customHeight="1" x14ac:dyDescent="0.2">
      <c r="A5" s="66" t="s">
        <v>56</v>
      </c>
      <c r="C5" s="67">
        <v>-9.5</v>
      </c>
      <c r="D5" s="62" t="s">
        <v>57</v>
      </c>
    </row>
    <row r="6" spans="1:6" s="61" customFormat="1" ht="12.95" customHeight="1" x14ac:dyDescent="0.2">
      <c r="A6" s="63" t="s">
        <v>2</v>
      </c>
      <c r="C6" s="62"/>
      <c r="D6" s="62"/>
    </row>
    <row r="7" spans="1:6" s="61" customFormat="1" ht="12.95" customHeight="1" x14ac:dyDescent="0.2">
      <c r="A7" s="61" t="s">
        <v>3</v>
      </c>
      <c r="C7" s="62">
        <f>+C4</f>
        <v>38440.353999999999</v>
      </c>
      <c r="D7" s="62"/>
    </row>
    <row r="8" spans="1:6" s="61" customFormat="1" ht="12.95" customHeight="1" x14ac:dyDescent="0.2">
      <c r="A8" s="61" t="s">
        <v>4</v>
      </c>
      <c r="C8" s="62">
        <f>+D4</f>
        <v>1.66182414</v>
      </c>
      <c r="D8" s="62"/>
    </row>
    <row r="9" spans="1:6" s="61" customFormat="1" ht="12.95" customHeight="1" x14ac:dyDescent="0.2">
      <c r="A9" s="68" t="s">
        <v>63</v>
      </c>
      <c r="B9" s="69">
        <v>21</v>
      </c>
      <c r="C9" s="70" t="str">
        <f>"F"&amp;B9</f>
        <v>F21</v>
      </c>
      <c r="D9" s="70" t="str">
        <f>"G"&amp;B9</f>
        <v>G21</v>
      </c>
    </row>
    <row r="10" spans="1:6" s="61" customFormat="1" ht="12.95" customHeight="1" thickBot="1" x14ac:dyDescent="0.25">
      <c r="C10" s="71" t="s">
        <v>21</v>
      </c>
      <c r="D10" s="71" t="s">
        <v>22</v>
      </c>
    </row>
    <row r="11" spans="1:6" s="61" customFormat="1" ht="12.95" customHeight="1" x14ac:dyDescent="0.2">
      <c r="A11" s="61" t="s">
        <v>17</v>
      </c>
      <c r="C11" s="70">
        <f ca="1">INTERCEPT(INDIRECT($D$9):G978,INDIRECT($C$9):F978)</f>
        <v>-5.2360105822269618E-2</v>
      </c>
      <c r="D11" s="62"/>
    </row>
    <row r="12" spans="1:6" s="61" customFormat="1" ht="12.95" customHeight="1" x14ac:dyDescent="0.2">
      <c r="A12" s="61" t="s">
        <v>18</v>
      </c>
      <c r="C12" s="70">
        <f ca="1">SLOPE(INDIRECT($D$9):G978,INDIRECT($C$9):F978)</f>
        <v>-2.3239685486400135E-5</v>
      </c>
      <c r="D12" s="62"/>
    </row>
    <row r="13" spans="1:6" s="61" customFormat="1" ht="12.95" customHeight="1" x14ac:dyDescent="0.2">
      <c r="A13" s="61" t="s">
        <v>20</v>
      </c>
      <c r="C13" s="62" t="s">
        <v>15</v>
      </c>
      <c r="D13" s="62"/>
    </row>
    <row r="14" spans="1:6" s="61" customFormat="1" ht="12.95" customHeight="1" x14ac:dyDescent="0.2">
      <c r="A14" s="61" t="s">
        <v>25</v>
      </c>
      <c r="C14" s="62"/>
      <c r="D14" s="62"/>
      <c r="E14" s="68" t="s">
        <v>67</v>
      </c>
      <c r="F14" s="72">
        <v>1</v>
      </c>
    </row>
    <row r="15" spans="1:6" s="61" customFormat="1" ht="12.95" customHeight="1" x14ac:dyDescent="0.2">
      <c r="A15" s="63" t="s">
        <v>19</v>
      </c>
      <c r="C15" s="62">
        <f ca="1">(C7+C11)+(C8+C12)*INT(MAX(F21:F3533))</f>
        <v>59960.623298967126</v>
      </c>
      <c r="D15" s="62"/>
      <c r="E15" s="68" t="s">
        <v>58</v>
      </c>
      <c r="F15" s="73">
        <f ca="1">NOW()+15018.5+$C$5/24</f>
        <v>60309.748831365738</v>
      </c>
    </row>
    <row r="16" spans="1:6" s="61" customFormat="1" ht="12.95" customHeight="1" x14ac:dyDescent="0.2">
      <c r="A16" s="63" t="s">
        <v>5</v>
      </c>
      <c r="C16" s="62">
        <f ca="1">+C8+C12</f>
        <v>1.6618009003145136</v>
      </c>
      <c r="D16" s="62"/>
      <c r="E16" s="68" t="s">
        <v>68</v>
      </c>
      <c r="F16" s="73">
        <f ca="1">ROUND(2*(F15-$C$7)/$C$8,0)/2+F14</f>
        <v>13161</v>
      </c>
    </row>
    <row r="17" spans="1:21" s="61" customFormat="1" ht="12.95" customHeight="1" thickBot="1" x14ac:dyDescent="0.25">
      <c r="A17" s="68" t="s">
        <v>53</v>
      </c>
      <c r="C17" s="74">
        <f>COUNT(C21:C2177)</f>
        <v>69</v>
      </c>
      <c r="D17" s="62"/>
      <c r="E17" s="68" t="s">
        <v>59</v>
      </c>
      <c r="F17" s="73">
        <f ca="1">ROUND(2*(F15-$C$15)/$C$16,0)/2+F14</f>
        <v>211</v>
      </c>
    </row>
    <row r="18" spans="1:21" s="61" customFormat="1" ht="12.95" customHeight="1" x14ac:dyDescent="0.2">
      <c r="A18" s="63" t="s">
        <v>6</v>
      </c>
      <c r="C18" s="64">
        <f ca="1">+C15</f>
        <v>59960.623298967126</v>
      </c>
      <c r="D18" s="65">
        <f ca="1">+C16</f>
        <v>1.6618009003145136</v>
      </c>
      <c r="E18" s="68" t="s">
        <v>60</v>
      </c>
      <c r="F18" s="75">
        <f ca="1">+$C$15+$C$16*F17-15018.5-$C$5/24</f>
        <v>45293.159122266821</v>
      </c>
    </row>
    <row r="19" spans="1:21" s="61" customFormat="1" ht="12.95" customHeight="1" thickTop="1" x14ac:dyDescent="0.2">
      <c r="C19" s="62"/>
      <c r="D19" s="62"/>
    </row>
    <row r="20" spans="1:21" s="61" customFormat="1" ht="12.95" customHeight="1" thickBot="1" x14ac:dyDescent="0.25">
      <c r="A20" s="76" t="s">
        <v>7</v>
      </c>
      <c r="B20" s="76" t="s">
        <v>8</v>
      </c>
      <c r="C20" s="71" t="s">
        <v>9</v>
      </c>
      <c r="D20" s="71" t="s">
        <v>14</v>
      </c>
      <c r="E20" s="76" t="s">
        <v>10</v>
      </c>
      <c r="F20" s="76" t="s">
        <v>11</v>
      </c>
      <c r="G20" s="76" t="s">
        <v>12</v>
      </c>
      <c r="H20" s="77" t="s">
        <v>31</v>
      </c>
      <c r="I20" s="77" t="s">
        <v>82</v>
      </c>
      <c r="J20" s="77" t="s">
        <v>77</v>
      </c>
      <c r="K20" s="77" t="s">
        <v>75</v>
      </c>
      <c r="L20" s="77" t="s">
        <v>27</v>
      </c>
      <c r="M20" s="77" t="s">
        <v>28</v>
      </c>
      <c r="N20" s="77" t="s">
        <v>29</v>
      </c>
      <c r="O20" s="77" t="s">
        <v>24</v>
      </c>
      <c r="P20" s="77" t="s">
        <v>23</v>
      </c>
      <c r="Q20" s="76" t="s">
        <v>16</v>
      </c>
      <c r="U20" s="78" t="s">
        <v>329</v>
      </c>
    </row>
    <row r="21" spans="1:21" s="61" customFormat="1" ht="12.95" customHeight="1" x14ac:dyDescent="0.2">
      <c r="A21" s="79" t="s">
        <v>88</v>
      </c>
      <c r="B21" s="80" t="s">
        <v>46</v>
      </c>
      <c r="C21" s="79">
        <v>15100.37</v>
      </c>
      <c r="D21" s="79" t="s">
        <v>82</v>
      </c>
      <c r="E21" s="61">
        <f t="shared" ref="E21:E52" si="0">+(C21-C$7)/C$8</f>
        <v>-14044.797784680151</v>
      </c>
      <c r="F21" s="61">
        <f t="shared" ref="F21:F52" si="1">ROUND(2*E21,0)/2</f>
        <v>-14045</v>
      </c>
      <c r="G21" s="61">
        <f t="shared" ref="G21:G60" si="2">+C21-(C$7+F21*C$8)</f>
        <v>0.3360463000008167</v>
      </c>
      <c r="I21" s="61">
        <f t="shared" ref="I21:I48" si="3">+G21</f>
        <v>0.3360463000008167</v>
      </c>
      <c r="O21" s="61">
        <f t="shared" ref="O21:O52" ca="1" si="4">+C$11+C$12*F21</f>
        <v>0.27404127683422025</v>
      </c>
      <c r="Q21" s="81">
        <f t="shared" ref="Q21:Q52" si="5">+C21-15018.5</f>
        <v>81.8700000000008</v>
      </c>
    </row>
    <row r="22" spans="1:21" s="61" customFormat="1" ht="12.95" customHeight="1" x14ac:dyDescent="0.2">
      <c r="A22" s="79" t="s">
        <v>88</v>
      </c>
      <c r="B22" s="80" t="s">
        <v>46</v>
      </c>
      <c r="C22" s="79">
        <v>17262.32</v>
      </c>
      <c r="D22" s="79" t="s">
        <v>82</v>
      </c>
      <c r="E22" s="61">
        <f t="shared" si="0"/>
        <v>-12743.8478538409</v>
      </c>
      <c r="F22" s="61">
        <f t="shared" si="1"/>
        <v>-12744</v>
      </c>
      <c r="G22" s="61">
        <f t="shared" si="2"/>
        <v>0.25284015999932308</v>
      </c>
      <c r="I22" s="61">
        <f t="shared" si="3"/>
        <v>0.25284015999932308</v>
      </c>
      <c r="O22" s="61">
        <f t="shared" ca="1" si="4"/>
        <v>0.24380644601641366</v>
      </c>
      <c r="Q22" s="81">
        <f t="shared" si="5"/>
        <v>2243.8199999999997</v>
      </c>
    </row>
    <row r="23" spans="1:21" s="61" customFormat="1" ht="12.95" customHeight="1" x14ac:dyDescent="0.2">
      <c r="A23" s="79" t="s">
        <v>88</v>
      </c>
      <c r="B23" s="80" t="s">
        <v>46</v>
      </c>
      <c r="C23" s="79">
        <v>19369.48</v>
      </c>
      <c r="D23" s="79" t="s">
        <v>82</v>
      </c>
      <c r="E23" s="61">
        <f t="shared" si="0"/>
        <v>-11475.867717266401</v>
      </c>
      <c r="F23" s="61">
        <f t="shared" si="1"/>
        <v>-11476</v>
      </c>
      <c r="G23" s="61">
        <f t="shared" si="2"/>
        <v>0.21983063999869046</v>
      </c>
      <c r="I23" s="61">
        <f t="shared" si="3"/>
        <v>0.21983063999869046</v>
      </c>
      <c r="O23" s="61">
        <f t="shared" ca="1" si="4"/>
        <v>0.21433852481965832</v>
      </c>
      <c r="Q23" s="81">
        <f t="shared" si="5"/>
        <v>4350.9799999999996</v>
      </c>
    </row>
    <row r="24" spans="1:21" s="61" customFormat="1" ht="12.95" customHeight="1" x14ac:dyDescent="0.2">
      <c r="A24" s="79" t="s">
        <v>88</v>
      </c>
      <c r="B24" s="80" t="s">
        <v>46</v>
      </c>
      <c r="C24" s="79">
        <v>20539.349999999999</v>
      </c>
      <c r="D24" s="79" t="s">
        <v>82</v>
      </c>
      <c r="E24" s="61">
        <f t="shared" si="0"/>
        <v>-10771.900328755604</v>
      </c>
      <c r="F24" s="61">
        <f t="shared" si="1"/>
        <v>-10772</v>
      </c>
      <c r="G24" s="61">
        <f t="shared" si="2"/>
        <v>0.16563608000069507</v>
      </c>
      <c r="I24" s="61">
        <f t="shared" si="3"/>
        <v>0.16563608000069507</v>
      </c>
      <c r="O24" s="61">
        <f t="shared" ca="1" si="4"/>
        <v>0.19797778623723261</v>
      </c>
      <c r="Q24" s="81">
        <f t="shared" si="5"/>
        <v>5520.8499999999985</v>
      </c>
    </row>
    <row r="25" spans="1:21" s="61" customFormat="1" ht="12.95" customHeight="1" x14ac:dyDescent="0.2">
      <c r="A25" s="79" t="s">
        <v>102</v>
      </c>
      <c r="B25" s="80" t="s">
        <v>46</v>
      </c>
      <c r="C25" s="79">
        <v>24946.48</v>
      </c>
      <c r="D25" s="79" t="s">
        <v>82</v>
      </c>
      <c r="E25" s="61">
        <f t="shared" si="0"/>
        <v>-8119.9169486128658</v>
      </c>
      <c r="F25" s="61">
        <f t="shared" si="1"/>
        <v>-8120</v>
      </c>
      <c r="G25" s="61">
        <f t="shared" si="2"/>
        <v>0.1380167999996047</v>
      </c>
      <c r="I25" s="61">
        <f t="shared" si="3"/>
        <v>0.1380167999996047</v>
      </c>
      <c r="O25" s="61">
        <f t="shared" ca="1" si="4"/>
        <v>0.13634614032729947</v>
      </c>
      <c r="Q25" s="81">
        <f t="shared" si="5"/>
        <v>9927.98</v>
      </c>
    </row>
    <row r="26" spans="1:21" s="61" customFormat="1" ht="12.95" customHeight="1" x14ac:dyDescent="0.2">
      <c r="A26" s="79" t="s">
        <v>105</v>
      </c>
      <c r="B26" s="80" t="s">
        <v>46</v>
      </c>
      <c r="C26" s="79">
        <v>25275.55</v>
      </c>
      <c r="D26" s="79" t="s">
        <v>82</v>
      </c>
      <c r="E26" s="61">
        <f t="shared" si="0"/>
        <v>-7921.8996060557893</v>
      </c>
      <c r="F26" s="61">
        <f t="shared" si="1"/>
        <v>-7922</v>
      </c>
      <c r="G26" s="61">
        <f t="shared" si="2"/>
        <v>0.16683707999982289</v>
      </c>
      <c r="I26" s="61">
        <f t="shared" si="3"/>
        <v>0.16683707999982289</v>
      </c>
      <c r="O26" s="61">
        <f t="shared" ca="1" si="4"/>
        <v>0.13174468260099226</v>
      </c>
      <c r="Q26" s="81">
        <f t="shared" si="5"/>
        <v>10257.049999999999</v>
      </c>
    </row>
    <row r="27" spans="1:21" s="61" customFormat="1" ht="12.95" customHeight="1" x14ac:dyDescent="0.2">
      <c r="A27" s="79" t="s">
        <v>109</v>
      </c>
      <c r="B27" s="80" t="s">
        <v>46</v>
      </c>
      <c r="C27" s="79">
        <v>25325.32</v>
      </c>
      <c r="D27" s="79" t="s">
        <v>82</v>
      </c>
      <c r="E27" s="61">
        <f t="shared" si="0"/>
        <v>-7891.9505887066962</v>
      </c>
      <c r="F27" s="61">
        <f t="shared" si="1"/>
        <v>-7892</v>
      </c>
      <c r="G27" s="61">
        <f t="shared" si="2"/>
        <v>8.2112880001659505E-2</v>
      </c>
      <c r="I27" s="61">
        <f t="shared" si="3"/>
        <v>8.2112880001659505E-2</v>
      </c>
      <c r="O27" s="61">
        <f t="shared" ca="1" si="4"/>
        <v>0.13104749203640026</v>
      </c>
      <c r="Q27" s="81">
        <f t="shared" si="5"/>
        <v>10306.82</v>
      </c>
    </row>
    <row r="28" spans="1:21" s="61" customFormat="1" ht="12.95" customHeight="1" x14ac:dyDescent="0.2">
      <c r="A28" s="79" t="s">
        <v>109</v>
      </c>
      <c r="B28" s="80" t="s">
        <v>46</v>
      </c>
      <c r="C28" s="79">
        <v>25335.33</v>
      </c>
      <c r="D28" s="79" t="s">
        <v>82</v>
      </c>
      <c r="E28" s="61">
        <f t="shared" si="0"/>
        <v>-7885.9270873270607</v>
      </c>
      <c r="F28" s="61">
        <f t="shared" si="1"/>
        <v>-7886</v>
      </c>
      <c r="G28" s="61">
        <f t="shared" si="2"/>
        <v>0.1211680400010664</v>
      </c>
      <c r="I28" s="61">
        <f t="shared" si="3"/>
        <v>0.1211680400010664</v>
      </c>
      <c r="O28" s="61">
        <f t="shared" ca="1" si="4"/>
        <v>0.13090805392348187</v>
      </c>
      <c r="Q28" s="81">
        <f t="shared" si="5"/>
        <v>10316.830000000002</v>
      </c>
    </row>
    <row r="29" spans="1:21" s="61" customFormat="1" ht="12.95" customHeight="1" x14ac:dyDescent="0.2">
      <c r="A29" s="79" t="s">
        <v>105</v>
      </c>
      <c r="B29" s="80" t="s">
        <v>46</v>
      </c>
      <c r="C29" s="79">
        <v>25561.43</v>
      </c>
      <c r="D29" s="79" t="s">
        <v>82</v>
      </c>
      <c r="E29" s="61">
        <f t="shared" si="0"/>
        <v>-7749.8717764444073</v>
      </c>
      <c r="F29" s="61">
        <f t="shared" si="1"/>
        <v>-7750</v>
      </c>
      <c r="G29" s="61">
        <f t="shared" si="2"/>
        <v>0.21308500000304775</v>
      </c>
      <c r="I29" s="61">
        <f t="shared" si="3"/>
        <v>0.21308500000304775</v>
      </c>
      <c r="O29" s="61">
        <f t="shared" ca="1" si="4"/>
        <v>0.12774745669733145</v>
      </c>
      <c r="Q29" s="81">
        <f t="shared" si="5"/>
        <v>10542.93</v>
      </c>
    </row>
    <row r="30" spans="1:21" s="61" customFormat="1" ht="12.95" customHeight="1" x14ac:dyDescent="0.2">
      <c r="A30" s="79" t="s">
        <v>105</v>
      </c>
      <c r="B30" s="80" t="s">
        <v>46</v>
      </c>
      <c r="C30" s="79">
        <v>25644.36</v>
      </c>
      <c r="D30" s="79" t="s">
        <v>82</v>
      </c>
      <c r="E30" s="61">
        <f t="shared" si="0"/>
        <v>-7699.9687824970451</v>
      </c>
      <c r="F30" s="61">
        <f t="shared" si="1"/>
        <v>-7700</v>
      </c>
      <c r="G30" s="61">
        <f t="shared" si="2"/>
        <v>5.1878000002034241E-2</v>
      </c>
      <c r="I30" s="61">
        <f t="shared" si="3"/>
        <v>5.1878000002034241E-2</v>
      </c>
      <c r="O30" s="61">
        <f t="shared" ca="1" si="4"/>
        <v>0.12658547242301144</v>
      </c>
      <c r="Q30" s="81">
        <f t="shared" si="5"/>
        <v>10625.86</v>
      </c>
    </row>
    <row r="31" spans="1:21" s="61" customFormat="1" ht="12.95" customHeight="1" x14ac:dyDescent="0.2">
      <c r="A31" s="79" t="s">
        <v>123</v>
      </c>
      <c r="B31" s="80" t="s">
        <v>46</v>
      </c>
      <c r="C31" s="79">
        <v>33305.300000000003</v>
      </c>
      <c r="D31" s="79" t="s">
        <v>82</v>
      </c>
      <c r="E31" s="61">
        <f t="shared" si="0"/>
        <v>-3090.0104748749145</v>
      </c>
      <c r="F31" s="61">
        <f t="shared" si="1"/>
        <v>-3090</v>
      </c>
      <c r="G31" s="61">
        <f t="shared" si="2"/>
        <v>-1.7407399995136075E-2</v>
      </c>
      <c r="I31" s="61">
        <f t="shared" si="3"/>
        <v>-1.7407399995136075E-2</v>
      </c>
      <c r="O31" s="61">
        <f t="shared" ca="1" si="4"/>
        <v>1.9450522330706793E-2</v>
      </c>
      <c r="Q31" s="81">
        <f t="shared" si="5"/>
        <v>18286.800000000003</v>
      </c>
    </row>
    <row r="32" spans="1:21" s="61" customFormat="1" ht="12.95" customHeight="1" x14ac:dyDescent="0.2">
      <c r="A32" s="79" t="s">
        <v>123</v>
      </c>
      <c r="B32" s="80" t="s">
        <v>46</v>
      </c>
      <c r="C32" s="79">
        <v>33330.26</v>
      </c>
      <c r="D32" s="79" t="s">
        <v>82</v>
      </c>
      <c r="E32" s="61">
        <f t="shared" si="0"/>
        <v>-3074.9908350711512</v>
      </c>
      <c r="F32" s="61">
        <f t="shared" si="1"/>
        <v>-3075</v>
      </c>
      <c r="G32" s="61">
        <f t="shared" si="2"/>
        <v>1.523050000105286E-2</v>
      </c>
      <c r="I32" s="61">
        <f t="shared" si="3"/>
        <v>1.523050000105286E-2</v>
      </c>
      <c r="O32" s="61">
        <f t="shared" ca="1" si="4"/>
        <v>1.9101927048410794E-2</v>
      </c>
      <c r="Q32" s="81">
        <f t="shared" si="5"/>
        <v>18311.760000000002</v>
      </c>
    </row>
    <row r="33" spans="1:17" s="61" customFormat="1" ht="12.95" customHeight="1" x14ac:dyDescent="0.2">
      <c r="A33" s="79" t="s">
        <v>123</v>
      </c>
      <c r="B33" s="80" t="s">
        <v>46</v>
      </c>
      <c r="C33" s="79">
        <v>33358.379999999997</v>
      </c>
      <c r="D33" s="79" t="s">
        <v>82</v>
      </c>
      <c r="E33" s="61">
        <f t="shared" si="0"/>
        <v>-3058.0696703563362</v>
      </c>
      <c r="F33" s="61">
        <f t="shared" si="1"/>
        <v>-3058</v>
      </c>
      <c r="G33" s="61">
        <f t="shared" si="2"/>
        <v>-0.11577988000499317</v>
      </c>
      <c r="I33" s="61">
        <f t="shared" si="3"/>
        <v>-0.11577988000499317</v>
      </c>
      <c r="O33" s="61">
        <f t="shared" ca="1" si="4"/>
        <v>1.8706852395141998E-2</v>
      </c>
      <c r="Q33" s="81">
        <f t="shared" si="5"/>
        <v>18339.879999999997</v>
      </c>
    </row>
    <row r="34" spans="1:17" s="61" customFormat="1" ht="12.95" customHeight="1" x14ac:dyDescent="0.2">
      <c r="A34" s="79" t="s">
        <v>123</v>
      </c>
      <c r="B34" s="80" t="s">
        <v>46</v>
      </c>
      <c r="C34" s="79">
        <v>33360.26</v>
      </c>
      <c r="D34" s="79" t="s">
        <v>82</v>
      </c>
      <c r="E34" s="61">
        <f t="shared" si="0"/>
        <v>-3056.9383833839347</v>
      </c>
      <c r="F34" s="61">
        <f t="shared" si="1"/>
        <v>-3057</v>
      </c>
      <c r="G34" s="61">
        <f t="shared" si="2"/>
        <v>0.1023959800004377</v>
      </c>
      <c r="I34" s="61">
        <f t="shared" si="3"/>
        <v>0.1023959800004377</v>
      </c>
      <c r="O34" s="61">
        <f t="shared" ca="1" si="4"/>
        <v>1.86836127096556E-2</v>
      </c>
      <c r="Q34" s="81">
        <f t="shared" si="5"/>
        <v>18341.760000000002</v>
      </c>
    </row>
    <row r="35" spans="1:17" s="61" customFormat="1" ht="12.95" customHeight="1" x14ac:dyDescent="0.2">
      <c r="A35" s="79" t="s">
        <v>123</v>
      </c>
      <c r="B35" s="80" t="s">
        <v>46</v>
      </c>
      <c r="C35" s="79">
        <v>33649.32</v>
      </c>
      <c r="D35" s="79" t="s">
        <v>82</v>
      </c>
      <c r="E35" s="61">
        <f t="shared" si="0"/>
        <v>-2882.9969938937097</v>
      </c>
      <c r="F35" s="61">
        <f t="shared" si="1"/>
        <v>-2883</v>
      </c>
      <c r="G35" s="61">
        <f t="shared" si="2"/>
        <v>4.9956200018641539E-3</v>
      </c>
      <c r="I35" s="61">
        <f t="shared" si="3"/>
        <v>4.9956200018641539E-3</v>
      </c>
      <c r="O35" s="61">
        <f t="shared" ca="1" si="4"/>
        <v>1.463990743502197E-2</v>
      </c>
      <c r="Q35" s="81">
        <f t="shared" si="5"/>
        <v>18630.82</v>
      </c>
    </row>
    <row r="36" spans="1:17" s="61" customFormat="1" ht="12.95" customHeight="1" x14ac:dyDescent="0.2">
      <c r="A36" s="79" t="s">
        <v>123</v>
      </c>
      <c r="B36" s="80" t="s">
        <v>46</v>
      </c>
      <c r="C36" s="79">
        <v>33689.24</v>
      </c>
      <c r="D36" s="79" t="s">
        <v>82</v>
      </c>
      <c r="E36" s="61">
        <f t="shared" si="0"/>
        <v>-2858.9751981819218</v>
      </c>
      <c r="F36" s="61">
        <f t="shared" si="1"/>
        <v>-2859</v>
      </c>
      <c r="G36" s="61">
        <f t="shared" si="2"/>
        <v>4.1216259996872395E-2</v>
      </c>
      <c r="I36" s="61">
        <f t="shared" si="3"/>
        <v>4.1216259996872395E-2</v>
      </c>
      <c r="O36" s="61">
        <f t="shared" ca="1" si="4"/>
        <v>1.4082154983348361E-2</v>
      </c>
      <c r="Q36" s="81">
        <f t="shared" si="5"/>
        <v>18670.739999999998</v>
      </c>
    </row>
    <row r="37" spans="1:17" s="61" customFormat="1" ht="12.95" customHeight="1" x14ac:dyDescent="0.2">
      <c r="A37" s="79" t="s">
        <v>123</v>
      </c>
      <c r="B37" s="80" t="s">
        <v>46</v>
      </c>
      <c r="C37" s="79">
        <v>33747.31</v>
      </c>
      <c r="D37" s="79" t="s">
        <v>82</v>
      </c>
      <c r="E37" s="61">
        <f t="shared" si="0"/>
        <v>-2824.0316691993667</v>
      </c>
      <c r="F37" s="61">
        <f t="shared" si="1"/>
        <v>-2824</v>
      </c>
      <c r="G37" s="61">
        <f t="shared" si="2"/>
        <v>-5.2628639998147264E-2</v>
      </c>
      <c r="I37" s="61">
        <f t="shared" si="3"/>
        <v>-5.2628639998147264E-2</v>
      </c>
      <c r="O37" s="61">
        <f t="shared" ca="1" si="4"/>
        <v>1.3268765991324358E-2</v>
      </c>
      <c r="Q37" s="81">
        <f t="shared" si="5"/>
        <v>18728.809999999998</v>
      </c>
    </row>
    <row r="38" spans="1:17" s="61" customFormat="1" ht="12.95" customHeight="1" x14ac:dyDescent="0.2">
      <c r="A38" s="79" t="s">
        <v>146</v>
      </c>
      <c r="B38" s="80" t="s">
        <v>46</v>
      </c>
      <c r="C38" s="79">
        <v>34450.33</v>
      </c>
      <c r="D38" s="79" t="s">
        <v>82</v>
      </c>
      <c r="E38" s="61">
        <f t="shared" si="0"/>
        <v>-2400.9905163611343</v>
      </c>
      <c r="F38" s="61">
        <f t="shared" si="1"/>
        <v>-2401</v>
      </c>
      <c r="G38" s="61">
        <f t="shared" si="2"/>
        <v>1.5760139998747036E-2</v>
      </c>
      <c r="I38" s="61">
        <f t="shared" si="3"/>
        <v>1.5760139998747036E-2</v>
      </c>
      <c r="O38" s="61">
        <f t="shared" ca="1" si="4"/>
        <v>3.4383790305771086E-3</v>
      </c>
      <c r="Q38" s="81">
        <f t="shared" si="5"/>
        <v>19431.830000000002</v>
      </c>
    </row>
    <row r="39" spans="1:17" s="61" customFormat="1" ht="12.95" customHeight="1" x14ac:dyDescent="0.2">
      <c r="A39" s="79" t="s">
        <v>146</v>
      </c>
      <c r="B39" s="80" t="s">
        <v>46</v>
      </c>
      <c r="C39" s="79">
        <v>35487.285000000003</v>
      </c>
      <c r="D39" s="79" t="s">
        <v>82</v>
      </c>
      <c r="E39" s="61">
        <f t="shared" si="0"/>
        <v>-1777.0045150505491</v>
      </c>
      <c r="F39" s="61">
        <f t="shared" si="1"/>
        <v>-1777</v>
      </c>
      <c r="G39" s="61">
        <f t="shared" si="2"/>
        <v>-7.5032199965789914E-3</v>
      </c>
      <c r="I39" s="61">
        <f t="shared" si="3"/>
        <v>-7.5032199965789914E-3</v>
      </c>
      <c r="O39" s="61">
        <f t="shared" ca="1" si="4"/>
        <v>-1.1063184712936582E-2</v>
      </c>
      <c r="Q39" s="81">
        <f t="shared" si="5"/>
        <v>20468.785000000003</v>
      </c>
    </row>
    <row r="40" spans="1:17" s="61" customFormat="1" ht="12.95" customHeight="1" x14ac:dyDescent="0.2">
      <c r="A40" s="79" t="s">
        <v>146</v>
      </c>
      <c r="B40" s="80" t="s">
        <v>46</v>
      </c>
      <c r="C40" s="79">
        <v>35492.211000000003</v>
      </c>
      <c r="D40" s="79" t="s">
        <v>82</v>
      </c>
      <c r="E40" s="61">
        <f t="shared" si="0"/>
        <v>-1774.0403024835084</v>
      </c>
      <c r="F40" s="61">
        <f t="shared" si="1"/>
        <v>-1774</v>
      </c>
      <c r="G40" s="61">
        <f t="shared" si="2"/>
        <v>-6.6975639994780067E-2</v>
      </c>
      <c r="I40" s="61">
        <f t="shared" si="3"/>
        <v>-6.6975639994780067E-2</v>
      </c>
      <c r="O40" s="61">
        <f t="shared" ca="1" si="4"/>
        <v>-1.1132903769395776E-2</v>
      </c>
      <c r="Q40" s="81">
        <f t="shared" si="5"/>
        <v>20473.711000000003</v>
      </c>
    </row>
    <row r="41" spans="1:17" s="61" customFormat="1" ht="12.95" customHeight="1" x14ac:dyDescent="0.2">
      <c r="A41" s="79" t="s">
        <v>146</v>
      </c>
      <c r="B41" s="80" t="s">
        <v>46</v>
      </c>
      <c r="C41" s="79">
        <v>35924.271000000001</v>
      </c>
      <c r="D41" s="79" t="s">
        <v>82</v>
      </c>
      <c r="E41" s="61">
        <f t="shared" si="0"/>
        <v>-1514.0488932842188</v>
      </c>
      <c r="F41" s="61">
        <f t="shared" si="1"/>
        <v>-1514</v>
      </c>
      <c r="G41" s="61">
        <f t="shared" si="2"/>
        <v>-8.125203999952646E-2</v>
      </c>
      <c r="I41" s="61">
        <f t="shared" si="3"/>
        <v>-8.125203999952646E-2</v>
      </c>
      <c r="O41" s="61">
        <f t="shared" ca="1" si="4"/>
        <v>-1.7175221995859816E-2</v>
      </c>
      <c r="Q41" s="81">
        <f t="shared" si="5"/>
        <v>20905.771000000001</v>
      </c>
    </row>
    <row r="42" spans="1:17" s="61" customFormat="1" ht="12.95" customHeight="1" x14ac:dyDescent="0.2">
      <c r="A42" s="79" t="s">
        <v>146</v>
      </c>
      <c r="B42" s="80" t="s">
        <v>46</v>
      </c>
      <c r="C42" s="79">
        <v>36138.644999999997</v>
      </c>
      <c r="D42" s="79" t="s">
        <v>82</v>
      </c>
      <c r="E42" s="61">
        <f t="shared" si="0"/>
        <v>-1385.04968401771</v>
      </c>
      <c r="F42" s="61">
        <f t="shared" si="1"/>
        <v>-1385</v>
      </c>
      <c r="G42" s="61">
        <f t="shared" si="2"/>
        <v>-8.2566100005351473E-2</v>
      </c>
      <c r="I42" s="61">
        <f t="shared" si="3"/>
        <v>-8.2566100005351473E-2</v>
      </c>
      <c r="O42" s="61">
        <f t="shared" ca="1" si="4"/>
        <v>-2.0173141423605434E-2</v>
      </c>
      <c r="Q42" s="81">
        <f t="shared" si="5"/>
        <v>21120.144999999997</v>
      </c>
    </row>
    <row r="43" spans="1:17" s="61" customFormat="1" ht="12.95" customHeight="1" x14ac:dyDescent="0.2">
      <c r="A43" s="79" t="s">
        <v>146</v>
      </c>
      <c r="B43" s="80" t="s">
        <v>46</v>
      </c>
      <c r="C43" s="79">
        <v>36165.307000000001</v>
      </c>
      <c r="D43" s="79" t="s">
        <v>82</v>
      </c>
      <c r="E43" s="61">
        <f t="shared" si="0"/>
        <v>-1369.0058684548887</v>
      </c>
      <c r="F43" s="61">
        <f t="shared" si="1"/>
        <v>-1369</v>
      </c>
      <c r="G43" s="61">
        <f t="shared" si="2"/>
        <v>-9.7523399963392876E-3</v>
      </c>
      <c r="I43" s="61">
        <f t="shared" si="3"/>
        <v>-9.7523399963392876E-3</v>
      </c>
      <c r="O43" s="61">
        <f t="shared" ca="1" si="4"/>
        <v>-2.0544976391387831E-2</v>
      </c>
      <c r="Q43" s="81">
        <f t="shared" si="5"/>
        <v>21146.807000000001</v>
      </c>
    </row>
    <row r="44" spans="1:17" s="61" customFormat="1" ht="12.95" customHeight="1" x14ac:dyDescent="0.2">
      <c r="A44" s="79" t="s">
        <v>166</v>
      </c>
      <c r="B44" s="80" t="s">
        <v>46</v>
      </c>
      <c r="C44" s="79">
        <v>36966.326999999997</v>
      </c>
      <c r="D44" s="79" t="s">
        <v>82</v>
      </c>
      <c r="E44" s="61">
        <f t="shared" si="0"/>
        <v>-886.99337343842046</v>
      </c>
      <c r="F44" s="61">
        <f t="shared" si="1"/>
        <v>-887</v>
      </c>
      <c r="G44" s="61">
        <f t="shared" si="2"/>
        <v>1.1012179995304905E-2</v>
      </c>
      <c r="I44" s="61">
        <f t="shared" si="3"/>
        <v>1.1012179995304905E-2</v>
      </c>
      <c r="O44" s="61">
        <f t="shared" ca="1" si="4"/>
        <v>-3.17465047958327E-2</v>
      </c>
      <c r="Q44" s="81">
        <f t="shared" si="5"/>
        <v>21947.826999999997</v>
      </c>
    </row>
    <row r="45" spans="1:17" s="61" customFormat="1" ht="12.95" customHeight="1" x14ac:dyDescent="0.2">
      <c r="A45" s="79" t="s">
        <v>166</v>
      </c>
      <c r="B45" s="80" t="s">
        <v>45</v>
      </c>
      <c r="C45" s="79">
        <v>37319.445</v>
      </c>
      <c r="D45" s="79" t="s">
        <v>82</v>
      </c>
      <c r="E45" s="61">
        <f t="shared" si="0"/>
        <v>-674.50518560886928</v>
      </c>
      <c r="F45" s="61">
        <f t="shared" si="1"/>
        <v>-674.5</v>
      </c>
      <c r="G45" s="61">
        <f t="shared" si="2"/>
        <v>-8.6175699980231002E-3</v>
      </c>
      <c r="I45" s="61">
        <f t="shared" si="3"/>
        <v>-8.6175699980231002E-3</v>
      </c>
      <c r="O45" s="61">
        <f t="shared" ca="1" si="4"/>
        <v>-3.6684937961692726E-2</v>
      </c>
      <c r="Q45" s="81">
        <f t="shared" si="5"/>
        <v>22300.945</v>
      </c>
    </row>
    <row r="46" spans="1:17" s="61" customFormat="1" ht="12.95" customHeight="1" x14ac:dyDescent="0.2">
      <c r="A46" s="79" t="s">
        <v>166</v>
      </c>
      <c r="B46" s="80" t="s">
        <v>45</v>
      </c>
      <c r="C46" s="79">
        <v>37349.358999999997</v>
      </c>
      <c r="D46" s="79" t="s">
        <v>82</v>
      </c>
      <c r="E46" s="61">
        <f t="shared" si="0"/>
        <v>-656.50448428315804</v>
      </c>
      <c r="F46" s="61">
        <f t="shared" si="1"/>
        <v>-656.5</v>
      </c>
      <c r="G46" s="61">
        <f t="shared" si="2"/>
        <v>-7.4520900016068481E-3</v>
      </c>
      <c r="I46" s="61">
        <f t="shared" si="3"/>
        <v>-7.4520900016068481E-3</v>
      </c>
      <c r="O46" s="61">
        <f t="shared" ca="1" si="4"/>
        <v>-3.7103252300447927E-2</v>
      </c>
      <c r="Q46" s="81">
        <f t="shared" si="5"/>
        <v>22330.858999999997</v>
      </c>
    </row>
    <row r="47" spans="1:17" s="61" customFormat="1" ht="12.95" customHeight="1" x14ac:dyDescent="0.2">
      <c r="A47" s="79" t="s">
        <v>166</v>
      </c>
      <c r="B47" s="80" t="s">
        <v>45</v>
      </c>
      <c r="C47" s="79">
        <v>38406.283000000003</v>
      </c>
      <c r="D47" s="79" t="s">
        <v>82</v>
      </c>
      <c r="E47" s="61">
        <f t="shared" si="0"/>
        <v>-20.502169381169463</v>
      </c>
      <c r="F47" s="61">
        <f t="shared" si="1"/>
        <v>-20.5</v>
      </c>
      <c r="G47" s="61">
        <f t="shared" si="2"/>
        <v>-3.6051299975952134E-3</v>
      </c>
      <c r="I47" s="61">
        <f t="shared" si="3"/>
        <v>-3.6051299975952134E-3</v>
      </c>
      <c r="O47" s="61">
        <f t="shared" ca="1" si="4"/>
        <v>-5.1883692269798415E-2</v>
      </c>
      <c r="Q47" s="81">
        <f t="shared" si="5"/>
        <v>23387.783000000003</v>
      </c>
    </row>
    <row r="48" spans="1:17" s="61" customFormat="1" ht="12.95" customHeight="1" x14ac:dyDescent="0.2">
      <c r="A48" s="79" t="s">
        <v>166</v>
      </c>
      <c r="B48" s="80" t="s">
        <v>46</v>
      </c>
      <c r="C48" s="79">
        <v>38440.339</v>
      </c>
      <c r="D48" s="79" t="s">
        <v>82</v>
      </c>
      <c r="E48" s="61">
        <f t="shared" si="0"/>
        <v>-9.0262258432579536E-3</v>
      </c>
      <c r="F48" s="61">
        <f t="shared" si="1"/>
        <v>0</v>
      </c>
      <c r="G48" s="61">
        <f t="shared" si="2"/>
        <v>-1.4999999999417923E-2</v>
      </c>
      <c r="I48" s="61">
        <f t="shared" si="3"/>
        <v>-1.4999999999417923E-2</v>
      </c>
      <c r="O48" s="61">
        <f t="shared" ca="1" si="4"/>
        <v>-5.2360105822269618E-2</v>
      </c>
      <c r="Q48" s="81">
        <f t="shared" si="5"/>
        <v>23421.839</v>
      </c>
    </row>
    <row r="49" spans="1:33" s="61" customFormat="1" ht="12.95" customHeight="1" x14ac:dyDescent="0.2">
      <c r="A49" s="61" t="s">
        <v>13</v>
      </c>
      <c r="C49" s="62">
        <v>38440.353999999999</v>
      </c>
      <c r="D49" s="62" t="s">
        <v>15</v>
      </c>
      <c r="E49" s="61">
        <f t="shared" si="0"/>
        <v>0</v>
      </c>
      <c r="F49" s="61">
        <f t="shared" si="1"/>
        <v>0</v>
      </c>
      <c r="G49" s="61">
        <f t="shared" si="2"/>
        <v>0</v>
      </c>
      <c r="H49" s="61">
        <f>+G49</f>
        <v>0</v>
      </c>
      <c r="O49" s="61">
        <f t="shared" ca="1" si="4"/>
        <v>-5.2360105822269618E-2</v>
      </c>
      <c r="Q49" s="81">
        <f t="shared" si="5"/>
        <v>23421.853999999999</v>
      </c>
    </row>
    <row r="50" spans="1:33" s="61" customFormat="1" ht="12.95" customHeight="1" x14ac:dyDescent="0.2">
      <c r="A50" s="79" t="s">
        <v>182</v>
      </c>
      <c r="B50" s="80" t="s">
        <v>46</v>
      </c>
      <c r="C50" s="79">
        <v>39500.468999999997</v>
      </c>
      <c r="D50" s="79" t="s">
        <v>82</v>
      </c>
      <c r="E50" s="61">
        <f t="shared" si="0"/>
        <v>637.92249401311381</v>
      </c>
      <c r="F50" s="61">
        <f t="shared" si="1"/>
        <v>638</v>
      </c>
      <c r="G50" s="61">
        <f t="shared" si="2"/>
        <v>-0.12880132000282174</v>
      </c>
      <c r="I50" s="61">
        <f t="shared" ref="I50:I60" si="6">+G50</f>
        <v>-0.12880132000282174</v>
      </c>
      <c r="O50" s="61">
        <f t="shared" ca="1" si="4"/>
        <v>-6.7187025162592909E-2</v>
      </c>
      <c r="Q50" s="81">
        <f t="shared" si="5"/>
        <v>24481.968999999997</v>
      </c>
    </row>
    <row r="51" spans="1:33" s="61" customFormat="1" ht="12.95" customHeight="1" x14ac:dyDescent="0.2">
      <c r="A51" s="61" t="s">
        <v>32</v>
      </c>
      <c r="C51" s="62">
        <v>40477.593000000001</v>
      </c>
      <c r="D51" s="62"/>
      <c r="E51" s="61">
        <f t="shared" si="0"/>
        <v>1225.9052874271049</v>
      </c>
      <c r="F51" s="61">
        <f t="shared" si="1"/>
        <v>1226</v>
      </c>
      <c r="G51" s="61">
        <f t="shared" si="2"/>
        <v>-0.15739563999522943</v>
      </c>
      <c r="I51" s="61">
        <f t="shared" si="6"/>
        <v>-0.15739563999522943</v>
      </c>
      <c r="O51" s="61">
        <f t="shared" ca="1" si="4"/>
        <v>-8.0851960228596184E-2</v>
      </c>
      <c r="Q51" s="81">
        <f t="shared" si="5"/>
        <v>25459.093000000001</v>
      </c>
      <c r="AA51" s="61" t="s">
        <v>31</v>
      </c>
      <c r="AG51" s="61" t="s">
        <v>33</v>
      </c>
    </row>
    <row r="52" spans="1:33" s="61" customFormat="1" ht="12.95" customHeight="1" x14ac:dyDescent="0.2">
      <c r="A52" s="61" t="s">
        <v>32</v>
      </c>
      <c r="C52" s="62">
        <v>40512.601000000002</v>
      </c>
      <c r="D52" s="62"/>
      <c r="E52" s="61">
        <f t="shared" si="0"/>
        <v>1246.9712950493083</v>
      </c>
      <c r="F52" s="61">
        <f t="shared" si="1"/>
        <v>1247</v>
      </c>
      <c r="G52" s="61">
        <f t="shared" si="2"/>
        <v>-4.7702579999167938E-2</v>
      </c>
      <c r="I52" s="61">
        <f t="shared" si="6"/>
        <v>-4.7702579999167938E-2</v>
      </c>
      <c r="O52" s="61">
        <f t="shared" ca="1" si="4"/>
        <v>-8.1339993623810586E-2</v>
      </c>
      <c r="Q52" s="81">
        <f t="shared" si="5"/>
        <v>25494.101000000002</v>
      </c>
      <c r="AA52" s="61" t="s">
        <v>31</v>
      </c>
      <c r="AG52" s="61" t="s">
        <v>33</v>
      </c>
    </row>
    <row r="53" spans="1:33" s="61" customFormat="1" ht="12.95" customHeight="1" x14ac:dyDescent="0.2">
      <c r="A53" s="61" t="s">
        <v>32</v>
      </c>
      <c r="C53" s="62">
        <v>40532.578000000001</v>
      </c>
      <c r="D53" s="62"/>
      <c r="E53" s="61">
        <f t="shared" ref="E53:E82" si="7">+(C53-C$7)/C$8</f>
        <v>1258.9924226278251</v>
      </c>
      <c r="F53" s="61">
        <f t="shared" ref="F53:F84" si="8">ROUND(2*E53,0)/2</f>
        <v>1259</v>
      </c>
      <c r="G53" s="61">
        <f t="shared" si="2"/>
        <v>-1.2592259998200461E-2</v>
      </c>
      <c r="I53" s="61">
        <f t="shared" si="6"/>
        <v>-1.2592259998200461E-2</v>
      </c>
      <c r="O53" s="61">
        <f t="shared" ref="O53:O82" ca="1" si="9">+C$11+C$12*F53</f>
        <v>-8.1618869849647391E-2</v>
      </c>
      <c r="Q53" s="81">
        <f t="shared" ref="Q53:Q82" si="10">+C53-15018.5</f>
        <v>25514.078000000001</v>
      </c>
      <c r="AA53" s="61" t="s">
        <v>31</v>
      </c>
      <c r="AG53" s="61" t="s">
        <v>33</v>
      </c>
    </row>
    <row r="54" spans="1:33" s="61" customFormat="1" ht="12.95" customHeight="1" x14ac:dyDescent="0.2">
      <c r="A54" s="61" t="s">
        <v>32</v>
      </c>
      <c r="C54" s="62">
        <v>41240.525999999998</v>
      </c>
      <c r="D54" s="62"/>
      <c r="E54" s="61">
        <f t="shared" si="7"/>
        <v>1684.9989915298731</v>
      </c>
      <c r="F54" s="61">
        <f t="shared" si="8"/>
        <v>1685</v>
      </c>
      <c r="G54" s="61">
        <f t="shared" si="2"/>
        <v>-1.6758999990997836E-3</v>
      </c>
      <c r="I54" s="61">
        <f t="shared" si="6"/>
        <v>-1.6758999990997836E-3</v>
      </c>
      <c r="O54" s="61">
        <f t="shared" ca="1" si="9"/>
        <v>-9.1518975866853841E-2</v>
      </c>
      <c r="Q54" s="81">
        <f t="shared" si="10"/>
        <v>26222.025999999998</v>
      </c>
      <c r="AA54" s="61" t="s">
        <v>31</v>
      </c>
      <c r="AG54" s="61" t="s">
        <v>33</v>
      </c>
    </row>
    <row r="55" spans="1:33" s="61" customFormat="1" ht="12.95" customHeight="1" x14ac:dyDescent="0.2">
      <c r="A55" s="61" t="s">
        <v>32</v>
      </c>
      <c r="C55" s="62">
        <v>42016.463000000003</v>
      </c>
      <c r="D55" s="62"/>
      <c r="E55" s="61">
        <f t="shared" si="7"/>
        <v>2151.917831690665</v>
      </c>
      <c r="F55" s="61">
        <f t="shared" si="8"/>
        <v>2152</v>
      </c>
      <c r="G55" s="61">
        <f t="shared" si="2"/>
        <v>-0.13654927999596111</v>
      </c>
      <c r="I55" s="61">
        <f t="shared" si="6"/>
        <v>-0.13654927999596111</v>
      </c>
      <c r="O55" s="61">
        <f t="shared" ca="1" si="9"/>
        <v>-0.10237190898900271</v>
      </c>
      <c r="Q55" s="81">
        <f t="shared" si="10"/>
        <v>26997.963000000003</v>
      </c>
      <c r="AA55" s="61" t="s">
        <v>31</v>
      </c>
      <c r="AG55" s="61" t="s">
        <v>33</v>
      </c>
    </row>
    <row r="56" spans="1:33" s="61" customFormat="1" ht="12.95" customHeight="1" x14ac:dyDescent="0.2">
      <c r="A56" s="61" t="s">
        <v>32</v>
      </c>
      <c r="C56" s="62">
        <v>42714.453999999998</v>
      </c>
      <c r="D56" s="62"/>
      <c r="E56" s="61">
        <f t="shared" si="7"/>
        <v>2571.9327918777244</v>
      </c>
      <c r="F56" s="61">
        <f t="shared" si="8"/>
        <v>2572</v>
      </c>
      <c r="G56" s="61">
        <f t="shared" si="2"/>
        <v>-0.11168808000365971</v>
      </c>
      <c r="I56" s="61">
        <f t="shared" si="6"/>
        <v>-0.11168808000365971</v>
      </c>
      <c r="O56" s="61">
        <f t="shared" ca="1" si="9"/>
        <v>-0.11213257689329076</v>
      </c>
      <c r="Q56" s="81">
        <f t="shared" si="10"/>
        <v>27695.953999999998</v>
      </c>
      <c r="AA56" s="61" t="s">
        <v>31</v>
      </c>
      <c r="AG56" s="61" t="s">
        <v>33</v>
      </c>
    </row>
    <row r="57" spans="1:33" s="61" customFormat="1" ht="12.95" customHeight="1" x14ac:dyDescent="0.2">
      <c r="A57" s="79" t="s">
        <v>166</v>
      </c>
      <c r="B57" s="80" t="s">
        <v>45</v>
      </c>
      <c r="C57" s="79">
        <v>43192.357000000004</v>
      </c>
      <c r="D57" s="79" t="s">
        <v>82</v>
      </c>
      <c r="E57" s="61">
        <f t="shared" si="7"/>
        <v>2859.5101525002547</v>
      </c>
      <c r="F57" s="61">
        <f t="shared" si="8"/>
        <v>2859.5</v>
      </c>
      <c r="G57" s="61">
        <f t="shared" si="2"/>
        <v>1.6871670006366912E-2</v>
      </c>
      <c r="I57" s="61">
        <f t="shared" si="6"/>
        <v>1.6871670006366912E-2</v>
      </c>
      <c r="O57" s="61">
        <f t="shared" ca="1" si="9"/>
        <v>-0.11881398647063081</v>
      </c>
      <c r="Q57" s="81">
        <f t="shared" si="10"/>
        <v>28173.857000000004</v>
      </c>
    </row>
    <row r="58" spans="1:33" s="61" customFormat="1" ht="12.95" customHeight="1" x14ac:dyDescent="0.2">
      <c r="A58" s="61" t="s">
        <v>32</v>
      </c>
      <c r="C58" s="62">
        <v>44118.597000000002</v>
      </c>
      <c r="D58" s="62"/>
      <c r="E58" s="61">
        <f t="shared" si="7"/>
        <v>3416.873580859165</v>
      </c>
      <c r="F58" s="61">
        <f t="shared" si="8"/>
        <v>3417</v>
      </c>
      <c r="G58" s="61">
        <f t="shared" si="2"/>
        <v>-0.21008638000057545</v>
      </c>
      <c r="I58" s="61">
        <f t="shared" si="6"/>
        <v>-0.21008638000057545</v>
      </c>
      <c r="O58" s="61">
        <f t="shared" ca="1" si="9"/>
        <v>-0.13177011112929887</v>
      </c>
      <c r="Q58" s="81">
        <f t="shared" si="10"/>
        <v>29100.097000000002</v>
      </c>
      <c r="AA58" s="61" t="s">
        <v>31</v>
      </c>
      <c r="AG58" s="61" t="s">
        <v>33</v>
      </c>
    </row>
    <row r="59" spans="1:33" s="61" customFormat="1" ht="12.95" customHeight="1" x14ac:dyDescent="0.2">
      <c r="A59" s="61" t="s">
        <v>32</v>
      </c>
      <c r="C59" s="62">
        <v>45368.296999999999</v>
      </c>
      <c r="D59" s="62"/>
      <c r="E59" s="61">
        <f t="shared" si="7"/>
        <v>4168.8785433096427</v>
      </c>
      <c r="F59" s="61">
        <f t="shared" si="8"/>
        <v>4169</v>
      </c>
      <c r="G59" s="61">
        <f t="shared" si="2"/>
        <v>-0.20183966000331566</v>
      </c>
      <c r="I59" s="61">
        <f t="shared" si="6"/>
        <v>-0.20183966000331566</v>
      </c>
      <c r="O59" s="61">
        <f t="shared" ca="1" si="9"/>
        <v>-0.1492463546150718</v>
      </c>
      <c r="Q59" s="81">
        <f t="shared" si="10"/>
        <v>30349.796999999999</v>
      </c>
      <c r="AA59" s="61" t="s">
        <v>31</v>
      </c>
      <c r="AG59" s="61" t="s">
        <v>33</v>
      </c>
    </row>
    <row r="60" spans="1:33" s="61" customFormat="1" ht="12.95" customHeight="1" x14ac:dyDescent="0.2">
      <c r="A60" s="61" t="s">
        <v>32</v>
      </c>
      <c r="C60" s="62">
        <v>45647.514999999999</v>
      </c>
      <c r="D60" s="62"/>
      <c r="E60" s="61">
        <f t="shared" si="7"/>
        <v>4336.8975251496831</v>
      </c>
      <c r="F60" s="61">
        <f t="shared" si="8"/>
        <v>4337</v>
      </c>
      <c r="G60" s="61">
        <f t="shared" si="2"/>
        <v>-0.17029517999617383</v>
      </c>
      <c r="I60" s="61">
        <f t="shared" si="6"/>
        <v>-0.17029517999617383</v>
      </c>
      <c r="O60" s="61">
        <f t="shared" ca="1" si="9"/>
        <v>-0.15315062177678701</v>
      </c>
      <c r="Q60" s="81">
        <f t="shared" si="10"/>
        <v>30629.014999999999</v>
      </c>
      <c r="AA60" s="61" t="s">
        <v>31</v>
      </c>
      <c r="AG60" s="61" t="s">
        <v>33</v>
      </c>
    </row>
    <row r="61" spans="1:33" s="61" customFormat="1" ht="12.95" customHeight="1" x14ac:dyDescent="0.2">
      <c r="A61" s="61" t="s">
        <v>37</v>
      </c>
      <c r="C61" s="62">
        <v>47211.455999999998</v>
      </c>
      <c r="D61" s="62"/>
      <c r="E61" s="61">
        <f t="shared" si="7"/>
        <v>5277.9965032882474</v>
      </c>
      <c r="F61" s="61">
        <f t="shared" si="8"/>
        <v>5278</v>
      </c>
      <c r="I61" s="61">
        <f t="shared" ref="I61:I64" si="11">+U61</f>
        <v>-5.8109200035687536E-3</v>
      </c>
      <c r="O61" s="61">
        <f t="shared" ca="1" si="9"/>
        <v>-0.17501916581948951</v>
      </c>
      <c r="Q61" s="81">
        <f t="shared" si="10"/>
        <v>32192.955999999998</v>
      </c>
      <c r="U61" s="61">
        <f t="shared" ref="U61:U66" si="12">+C61-(C$7+F61*C$8)</f>
        <v>-5.8109200035687536E-3</v>
      </c>
      <c r="AA61" s="61" t="s">
        <v>34</v>
      </c>
      <c r="AB61" s="61">
        <v>9</v>
      </c>
      <c r="AD61" s="61" t="s">
        <v>35</v>
      </c>
      <c r="AE61" s="61" t="s">
        <v>36</v>
      </c>
      <c r="AG61" s="61" t="s">
        <v>38</v>
      </c>
    </row>
    <row r="62" spans="1:33" s="61" customFormat="1" ht="12.95" customHeight="1" x14ac:dyDescent="0.2">
      <c r="A62" s="61" t="s">
        <v>39</v>
      </c>
      <c r="C62" s="62">
        <v>47231.425999999999</v>
      </c>
      <c r="D62" s="62"/>
      <c r="E62" s="61">
        <f t="shared" si="7"/>
        <v>5290.0134186280384</v>
      </c>
      <c r="F62" s="61">
        <f t="shared" si="8"/>
        <v>5290</v>
      </c>
      <c r="I62" s="61">
        <f t="shared" si="11"/>
        <v>2.2299399999610614E-2</v>
      </c>
      <c r="O62" s="61">
        <f t="shared" ca="1" si="9"/>
        <v>-0.17529804204532634</v>
      </c>
      <c r="Q62" s="81">
        <f t="shared" si="10"/>
        <v>32212.925999999999</v>
      </c>
      <c r="U62" s="61">
        <f t="shared" si="12"/>
        <v>2.2299399999610614E-2</v>
      </c>
      <c r="AA62" s="61" t="s">
        <v>34</v>
      </c>
      <c r="AB62" s="61">
        <v>8</v>
      </c>
      <c r="AD62" s="61" t="s">
        <v>35</v>
      </c>
      <c r="AE62" s="61" t="s">
        <v>36</v>
      </c>
      <c r="AG62" s="61" t="s">
        <v>38</v>
      </c>
    </row>
    <row r="63" spans="1:33" s="61" customFormat="1" ht="12.95" customHeight="1" x14ac:dyDescent="0.2">
      <c r="A63" s="61" t="s">
        <v>40</v>
      </c>
      <c r="C63" s="62">
        <v>47595.356</v>
      </c>
      <c r="D63" s="62"/>
      <c r="E63" s="61">
        <f t="shared" si="7"/>
        <v>5509.007710045661</v>
      </c>
      <c r="F63" s="61">
        <f t="shared" si="8"/>
        <v>5509</v>
      </c>
      <c r="I63" s="61">
        <f t="shared" si="11"/>
        <v>1.2812740002118517E-2</v>
      </c>
      <c r="O63" s="61">
        <f t="shared" ca="1" si="9"/>
        <v>-0.18038753316684797</v>
      </c>
      <c r="Q63" s="81">
        <f t="shared" si="10"/>
        <v>32576.856</v>
      </c>
      <c r="U63" s="61">
        <f t="shared" si="12"/>
        <v>1.2812740002118517E-2</v>
      </c>
      <c r="AA63" s="61" t="s">
        <v>34</v>
      </c>
      <c r="AB63" s="61">
        <v>7</v>
      </c>
      <c r="AD63" s="61" t="s">
        <v>35</v>
      </c>
      <c r="AE63" s="61" t="s">
        <v>36</v>
      </c>
      <c r="AG63" s="61" t="s">
        <v>38</v>
      </c>
    </row>
    <row r="64" spans="1:33" s="61" customFormat="1" ht="12.95" customHeight="1" x14ac:dyDescent="0.2">
      <c r="A64" s="61" t="s">
        <v>41</v>
      </c>
      <c r="C64" s="62">
        <v>47914.444000000003</v>
      </c>
      <c r="D64" s="62"/>
      <c r="E64" s="61">
        <f t="shared" si="7"/>
        <v>5701.0184001780135</v>
      </c>
      <c r="F64" s="61">
        <f t="shared" si="8"/>
        <v>5701</v>
      </c>
      <c r="I64" s="61">
        <f t="shared" si="11"/>
        <v>3.0577860001358204E-2</v>
      </c>
      <c r="O64" s="61">
        <f t="shared" ca="1" si="9"/>
        <v>-0.18484955278023679</v>
      </c>
      <c r="Q64" s="81">
        <f t="shared" si="10"/>
        <v>32895.944000000003</v>
      </c>
      <c r="U64" s="61">
        <f t="shared" si="12"/>
        <v>3.0577860001358204E-2</v>
      </c>
      <c r="AA64" s="61" t="s">
        <v>34</v>
      </c>
      <c r="AB64" s="61">
        <v>7</v>
      </c>
      <c r="AD64" s="61" t="s">
        <v>35</v>
      </c>
      <c r="AE64" s="61" t="s">
        <v>36</v>
      </c>
      <c r="AG64" s="61" t="s">
        <v>38</v>
      </c>
    </row>
    <row r="65" spans="1:33" s="61" customFormat="1" ht="12.95" customHeight="1" x14ac:dyDescent="0.2">
      <c r="A65" s="61" t="s">
        <v>42</v>
      </c>
      <c r="C65" s="62">
        <v>48652.303</v>
      </c>
      <c r="D65" s="62">
        <v>6.0000000000000001E-3</v>
      </c>
      <c r="E65" s="61">
        <f t="shared" si="7"/>
        <v>6145.023865160606</v>
      </c>
      <c r="F65" s="61">
        <f t="shared" si="8"/>
        <v>6145</v>
      </c>
      <c r="K65" s="61">
        <f>+U65</f>
        <v>3.9659699999901932E-2</v>
      </c>
      <c r="O65" s="61">
        <f t="shared" ca="1" si="9"/>
        <v>-0.19516797313619844</v>
      </c>
      <c r="Q65" s="81">
        <f t="shared" si="10"/>
        <v>33633.803</v>
      </c>
      <c r="U65" s="61">
        <f t="shared" si="12"/>
        <v>3.9659699999901932E-2</v>
      </c>
      <c r="AA65" s="61" t="s">
        <v>34</v>
      </c>
      <c r="AB65" s="61">
        <v>8</v>
      </c>
      <c r="AD65" s="61" t="s">
        <v>35</v>
      </c>
      <c r="AE65" s="61" t="s">
        <v>36</v>
      </c>
      <c r="AG65" s="61" t="s">
        <v>38</v>
      </c>
    </row>
    <row r="66" spans="1:33" s="61" customFormat="1" ht="12.95" customHeight="1" x14ac:dyDescent="0.2">
      <c r="A66" s="61" t="s">
        <v>43</v>
      </c>
      <c r="C66" s="62">
        <v>49104.322</v>
      </c>
      <c r="D66" s="62">
        <v>5.0000000000000001E-3</v>
      </c>
      <c r="E66" s="61">
        <f t="shared" si="7"/>
        <v>6417.0255704674028</v>
      </c>
      <c r="F66" s="61">
        <f t="shared" si="8"/>
        <v>6417</v>
      </c>
      <c r="K66" s="61">
        <f>+U66</f>
        <v>4.2493619999731891E-2</v>
      </c>
      <c r="O66" s="61">
        <f t="shared" ca="1" si="9"/>
        <v>-0.20148916758849927</v>
      </c>
      <c r="Q66" s="81">
        <f t="shared" si="10"/>
        <v>34085.822</v>
      </c>
      <c r="U66" s="61">
        <f t="shared" si="12"/>
        <v>4.2493619999731891E-2</v>
      </c>
      <c r="AA66" s="61" t="s">
        <v>34</v>
      </c>
      <c r="AB66" s="61">
        <v>6</v>
      </c>
      <c r="AD66" s="61" t="s">
        <v>35</v>
      </c>
      <c r="AE66" s="61" t="s">
        <v>36</v>
      </c>
      <c r="AG66" s="61" t="s">
        <v>38</v>
      </c>
    </row>
    <row r="67" spans="1:33" s="61" customFormat="1" ht="12.95" customHeight="1" x14ac:dyDescent="0.2">
      <c r="A67" s="79" t="s">
        <v>245</v>
      </c>
      <c r="B67" s="80" t="s">
        <v>45</v>
      </c>
      <c r="C67" s="79">
        <v>50517.463100000001</v>
      </c>
      <c r="D67" s="79" t="s">
        <v>82</v>
      </c>
      <c r="E67" s="61">
        <f t="shared" si="7"/>
        <v>7267.3809516330657</v>
      </c>
      <c r="F67" s="61">
        <f t="shared" si="8"/>
        <v>7267.5</v>
      </c>
      <c r="G67" s="61">
        <f>+C67-(C$7+F67*C$8)</f>
        <v>-0.19783744999585906</v>
      </c>
      <c r="I67" s="61">
        <f>+G67</f>
        <v>-0.19783744999585906</v>
      </c>
      <c r="O67" s="61">
        <f t="shared" ca="1" si="9"/>
        <v>-0.22125452009468261</v>
      </c>
      <c r="Q67" s="81">
        <f t="shared" si="10"/>
        <v>35498.963100000001</v>
      </c>
    </row>
    <row r="68" spans="1:33" s="61" customFormat="1" ht="12.95" customHeight="1" x14ac:dyDescent="0.2">
      <c r="A68" s="79" t="s">
        <v>251</v>
      </c>
      <c r="B68" s="80" t="s">
        <v>46</v>
      </c>
      <c r="C68" s="79">
        <v>53444.696000000004</v>
      </c>
      <c r="D68" s="79" t="s">
        <v>82</v>
      </c>
      <c r="E68" s="61">
        <f t="shared" si="7"/>
        <v>9028.8386351157496</v>
      </c>
      <c r="F68" s="61">
        <f t="shared" si="8"/>
        <v>9029</v>
      </c>
      <c r="G68" s="61">
        <f>+C68-(C$7+F68*C$8)</f>
        <v>-0.26816005999717163</v>
      </c>
      <c r="I68" s="61">
        <f>+G68</f>
        <v>-0.26816005999717163</v>
      </c>
      <c r="O68" s="61">
        <f t="shared" ca="1" si="9"/>
        <v>-0.26219122607897644</v>
      </c>
      <c r="Q68" s="81">
        <f t="shared" si="10"/>
        <v>38426.196000000004</v>
      </c>
    </row>
    <row r="69" spans="1:33" s="61" customFormat="1" ht="12.95" customHeight="1" x14ac:dyDescent="0.2">
      <c r="A69" s="79" t="s">
        <v>256</v>
      </c>
      <c r="B69" s="80" t="s">
        <v>46</v>
      </c>
      <c r="C69" s="79">
        <v>53740.919000000002</v>
      </c>
      <c r="D69" s="79" t="s">
        <v>82</v>
      </c>
      <c r="E69" s="61">
        <f t="shared" si="7"/>
        <v>9207.0903483204929</v>
      </c>
      <c r="F69" s="61">
        <f t="shared" si="8"/>
        <v>9207</v>
      </c>
      <c r="O69" s="61">
        <f t="shared" ca="1" si="9"/>
        <v>-0.26632789009555563</v>
      </c>
      <c r="Q69" s="81">
        <f t="shared" si="10"/>
        <v>38722.419000000002</v>
      </c>
      <c r="U69" s="61">
        <f>+C69-(C$7+F69*C$8)</f>
        <v>0.15014302000054158</v>
      </c>
    </row>
    <row r="70" spans="1:33" s="61" customFormat="1" ht="12.95" customHeight="1" x14ac:dyDescent="0.2">
      <c r="A70" s="79" t="s">
        <v>262</v>
      </c>
      <c r="B70" s="80" t="s">
        <v>46</v>
      </c>
      <c r="C70" s="79">
        <v>53755.451699999998</v>
      </c>
      <c r="D70" s="79" t="s">
        <v>82</v>
      </c>
      <c r="E70" s="61">
        <f t="shared" si="7"/>
        <v>9215.8353771416496</v>
      </c>
      <c r="F70" s="61">
        <f t="shared" si="8"/>
        <v>9216</v>
      </c>
      <c r="G70" s="61">
        <f t="shared" ref="G70:G82" si="13">+C70-(C$7+F70*C$8)</f>
        <v>-0.27357424000365427</v>
      </c>
      <c r="I70" s="61">
        <f t="shared" ref="I70:I82" si="14">+G70</f>
        <v>-0.27357424000365427</v>
      </c>
      <c r="O70" s="61">
        <f t="shared" ca="1" si="9"/>
        <v>-0.26653704726493327</v>
      </c>
      <c r="Q70" s="81">
        <f t="shared" si="10"/>
        <v>38736.951699999998</v>
      </c>
    </row>
    <row r="71" spans="1:33" s="61" customFormat="1" ht="12.95" customHeight="1" x14ac:dyDescent="0.2">
      <c r="A71" s="79" t="s">
        <v>267</v>
      </c>
      <c r="B71" s="80" t="s">
        <v>45</v>
      </c>
      <c r="C71" s="79">
        <v>54173.434500000003</v>
      </c>
      <c r="D71" s="79" t="s">
        <v>82</v>
      </c>
      <c r="E71" s="61">
        <f t="shared" si="7"/>
        <v>9467.3558539112346</v>
      </c>
      <c r="F71" s="61">
        <f t="shared" si="8"/>
        <v>9467.5</v>
      </c>
      <c r="G71" s="61">
        <f t="shared" si="13"/>
        <v>-0.23954544999287464</v>
      </c>
      <c r="I71" s="61">
        <f t="shared" si="14"/>
        <v>-0.23954544999287464</v>
      </c>
      <c r="O71" s="61">
        <f t="shared" ca="1" si="9"/>
        <v>-0.27238182816476292</v>
      </c>
      <c r="Q71" s="81">
        <f t="shared" si="10"/>
        <v>39154.934500000003</v>
      </c>
    </row>
    <row r="72" spans="1:33" s="61" customFormat="1" ht="12.95" customHeight="1" x14ac:dyDescent="0.2">
      <c r="A72" s="79" t="s">
        <v>69</v>
      </c>
      <c r="B72" s="80" t="s">
        <v>46</v>
      </c>
      <c r="C72" s="79">
        <v>54381.950700000001</v>
      </c>
      <c r="D72" s="79" t="s">
        <v>82</v>
      </c>
      <c r="E72" s="61">
        <f t="shared" si="7"/>
        <v>9592.8301414612997</v>
      </c>
      <c r="F72" s="61">
        <f t="shared" si="8"/>
        <v>9593</v>
      </c>
      <c r="G72" s="61">
        <f t="shared" si="13"/>
        <v>-0.28227501999936067</v>
      </c>
      <c r="I72" s="61">
        <f t="shared" si="14"/>
        <v>-0.28227501999936067</v>
      </c>
      <c r="O72" s="61">
        <f t="shared" ca="1" si="9"/>
        <v>-0.27529840869330613</v>
      </c>
      <c r="Q72" s="81">
        <f t="shared" si="10"/>
        <v>39363.450700000001</v>
      </c>
    </row>
    <row r="73" spans="1:33" s="61" customFormat="1" ht="12.95" customHeight="1" x14ac:dyDescent="0.2">
      <c r="A73" s="79" t="s">
        <v>66</v>
      </c>
      <c r="B73" s="80" t="s">
        <v>46</v>
      </c>
      <c r="C73" s="79">
        <v>54466.699399999998</v>
      </c>
      <c r="D73" s="79" t="s">
        <v>82</v>
      </c>
      <c r="E73" s="61">
        <f t="shared" si="7"/>
        <v>9643.8275352047767</v>
      </c>
      <c r="F73" s="61">
        <f t="shared" si="8"/>
        <v>9644</v>
      </c>
      <c r="G73" s="61">
        <f t="shared" si="13"/>
        <v>-0.286606159999792</v>
      </c>
      <c r="I73" s="61">
        <f t="shared" si="14"/>
        <v>-0.286606159999792</v>
      </c>
      <c r="O73" s="61">
        <f t="shared" ca="1" si="9"/>
        <v>-0.27648363265311254</v>
      </c>
      <c r="Q73" s="81">
        <f t="shared" si="10"/>
        <v>39448.199399999998</v>
      </c>
    </row>
    <row r="74" spans="1:33" s="61" customFormat="1" ht="12.95" customHeight="1" x14ac:dyDescent="0.2">
      <c r="A74" s="79" t="s">
        <v>285</v>
      </c>
      <c r="B74" s="80" t="s">
        <v>45</v>
      </c>
      <c r="C74" s="79">
        <v>54507.421499999997</v>
      </c>
      <c r="D74" s="79" t="s">
        <v>82</v>
      </c>
      <c r="E74" s="61">
        <f t="shared" si="7"/>
        <v>9668.3319932998438</v>
      </c>
      <c r="F74" s="61">
        <f t="shared" si="8"/>
        <v>9668.5</v>
      </c>
      <c r="G74" s="61">
        <f t="shared" si="13"/>
        <v>-0.279197590003605</v>
      </c>
      <c r="I74" s="61">
        <f t="shared" si="14"/>
        <v>-0.279197590003605</v>
      </c>
      <c r="O74" s="61">
        <f t="shared" ca="1" si="9"/>
        <v>-0.27705300494752932</v>
      </c>
      <c r="Q74" s="81">
        <f t="shared" si="10"/>
        <v>39488.921499999997</v>
      </c>
    </row>
    <row r="75" spans="1:33" s="61" customFormat="1" ht="12.95" customHeight="1" x14ac:dyDescent="0.2">
      <c r="A75" s="79" t="s">
        <v>285</v>
      </c>
      <c r="B75" s="80" t="s">
        <v>45</v>
      </c>
      <c r="C75" s="79">
        <v>54532.337</v>
      </c>
      <c r="D75" s="79" t="s">
        <v>82</v>
      </c>
      <c r="E75" s="61">
        <f t="shared" si="7"/>
        <v>9683.3248553002722</v>
      </c>
      <c r="F75" s="61">
        <f t="shared" si="8"/>
        <v>9683.5</v>
      </c>
      <c r="G75" s="61">
        <f t="shared" si="13"/>
        <v>-0.29105969000374898</v>
      </c>
      <c r="I75" s="61">
        <f t="shared" si="14"/>
        <v>-0.29105969000374898</v>
      </c>
      <c r="O75" s="61">
        <f t="shared" ca="1" si="9"/>
        <v>-0.2774016002298253</v>
      </c>
      <c r="Q75" s="81">
        <f t="shared" si="10"/>
        <v>39513.837</v>
      </c>
    </row>
    <row r="76" spans="1:33" s="61" customFormat="1" ht="12.95" customHeight="1" x14ac:dyDescent="0.2">
      <c r="A76" s="79" t="s">
        <v>66</v>
      </c>
      <c r="B76" s="80" t="s">
        <v>46</v>
      </c>
      <c r="C76" s="79">
        <v>54735.913399999998</v>
      </c>
      <c r="D76" s="79" t="s">
        <v>82</v>
      </c>
      <c r="E76" s="61">
        <f t="shared" si="7"/>
        <v>9805.82662615552</v>
      </c>
      <c r="F76" s="61">
        <f t="shared" si="8"/>
        <v>9806</v>
      </c>
      <c r="G76" s="61">
        <f t="shared" si="13"/>
        <v>-0.28811683999811066</v>
      </c>
      <c r="I76" s="61">
        <f t="shared" si="14"/>
        <v>-0.28811683999811066</v>
      </c>
      <c r="O76" s="61">
        <f t="shared" ca="1" si="9"/>
        <v>-0.28024846170190931</v>
      </c>
      <c r="Q76" s="81">
        <f t="shared" si="10"/>
        <v>39717.413399999998</v>
      </c>
    </row>
    <row r="77" spans="1:33" s="61" customFormat="1" ht="12.95" customHeight="1" x14ac:dyDescent="0.2">
      <c r="A77" s="79" t="s">
        <v>299</v>
      </c>
      <c r="B77" s="80" t="s">
        <v>46</v>
      </c>
      <c r="C77" s="79">
        <v>54857.23</v>
      </c>
      <c r="D77" s="79" t="s">
        <v>82</v>
      </c>
      <c r="E77" s="61">
        <f t="shared" si="7"/>
        <v>9878.828694834101</v>
      </c>
      <c r="F77" s="61">
        <f t="shared" si="8"/>
        <v>9879</v>
      </c>
      <c r="G77" s="61">
        <f t="shared" si="13"/>
        <v>-0.28467905999423238</v>
      </c>
      <c r="I77" s="61">
        <f t="shared" si="14"/>
        <v>-0.28467905999423238</v>
      </c>
      <c r="O77" s="61">
        <f t="shared" ca="1" si="9"/>
        <v>-0.28194495874241654</v>
      </c>
      <c r="Q77" s="81">
        <f t="shared" si="10"/>
        <v>39838.730000000003</v>
      </c>
    </row>
    <row r="78" spans="1:33" s="61" customFormat="1" ht="12.95" customHeight="1" x14ac:dyDescent="0.2">
      <c r="A78" s="79" t="s">
        <v>304</v>
      </c>
      <c r="B78" s="80" t="s">
        <v>46</v>
      </c>
      <c r="C78" s="79">
        <v>55570.141499999998</v>
      </c>
      <c r="D78" s="79" t="s">
        <v>82</v>
      </c>
      <c r="E78" s="61">
        <f t="shared" si="7"/>
        <v>10307.822041867799</v>
      </c>
      <c r="F78" s="61">
        <f t="shared" si="8"/>
        <v>10308</v>
      </c>
      <c r="G78" s="61">
        <f t="shared" si="13"/>
        <v>-0.29573512000206392</v>
      </c>
      <c r="I78" s="61">
        <f t="shared" si="14"/>
        <v>-0.29573512000206392</v>
      </c>
      <c r="O78" s="61">
        <f t="shared" ca="1" si="9"/>
        <v>-0.29191478381608221</v>
      </c>
      <c r="Q78" s="81">
        <f t="shared" si="10"/>
        <v>40551.641499999998</v>
      </c>
    </row>
    <row r="79" spans="1:33" s="61" customFormat="1" ht="12.95" customHeight="1" x14ac:dyDescent="0.2">
      <c r="A79" s="79" t="s">
        <v>310</v>
      </c>
      <c r="B79" s="80" t="s">
        <v>46</v>
      </c>
      <c r="C79" s="79">
        <v>55578.467799999999</v>
      </c>
      <c r="D79" s="79" t="s">
        <v>82</v>
      </c>
      <c r="E79" s="61">
        <f t="shared" si="7"/>
        <v>10312.832379483909</v>
      </c>
      <c r="F79" s="61">
        <f t="shared" si="8"/>
        <v>10313</v>
      </c>
      <c r="G79" s="61">
        <f t="shared" si="13"/>
        <v>-0.27855581999756396</v>
      </c>
      <c r="I79" s="61">
        <f t="shared" si="14"/>
        <v>-0.27855581999756396</v>
      </c>
      <c r="O79" s="61">
        <f t="shared" ca="1" si="9"/>
        <v>-0.2920309822435142</v>
      </c>
      <c r="Q79" s="81">
        <f t="shared" si="10"/>
        <v>40559.967799999999</v>
      </c>
    </row>
    <row r="80" spans="1:33" s="61" customFormat="1" ht="12.95" customHeight="1" x14ac:dyDescent="0.2">
      <c r="A80" s="79" t="s">
        <v>70</v>
      </c>
      <c r="B80" s="80" t="s">
        <v>46</v>
      </c>
      <c r="C80" s="79">
        <v>55895.854599999999</v>
      </c>
      <c r="D80" s="79" t="s">
        <v>82</v>
      </c>
      <c r="E80" s="61">
        <f t="shared" si="7"/>
        <v>10503.819375255916</v>
      </c>
      <c r="F80" s="61">
        <f t="shared" si="8"/>
        <v>10504</v>
      </c>
      <c r="G80" s="61">
        <f t="shared" si="13"/>
        <v>-0.30016656000225339</v>
      </c>
      <c r="I80" s="61">
        <f t="shared" si="14"/>
        <v>-0.30016656000225339</v>
      </c>
      <c r="O80" s="61">
        <f t="shared" ca="1" si="9"/>
        <v>-0.29646976217141663</v>
      </c>
      <c r="Q80" s="81">
        <f t="shared" si="10"/>
        <v>40877.354599999999</v>
      </c>
    </row>
    <row r="81" spans="1:17" s="61" customFormat="1" ht="12.95" customHeight="1" x14ac:dyDescent="0.2">
      <c r="A81" s="79" t="s">
        <v>323</v>
      </c>
      <c r="B81" s="80" t="s">
        <v>46</v>
      </c>
      <c r="C81" s="79">
        <v>55944.046000000002</v>
      </c>
      <c r="D81" s="79" t="s">
        <v>82</v>
      </c>
      <c r="E81" s="61">
        <f t="shared" si="7"/>
        <v>10532.818472597228</v>
      </c>
      <c r="F81" s="61">
        <f t="shared" si="8"/>
        <v>10533</v>
      </c>
      <c r="G81" s="61">
        <f t="shared" si="13"/>
        <v>-0.30166661999828648</v>
      </c>
      <c r="I81" s="61">
        <f t="shared" si="14"/>
        <v>-0.30166661999828648</v>
      </c>
      <c r="O81" s="61">
        <f t="shared" ca="1" si="9"/>
        <v>-0.29714371305052223</v>
      </c>
      <c r="Q81" s="81">
        <f t="shared" si="10"/>
        <v>40925.546000000002</v>
      </c>
    </row>
    <row r="82" spans="1:17" s="61" customFormat="1" ht="12.95" customHeight="1" x14ac:dyDescent="0.2">
      <c r="A82" s="79" t="s">
        <v>71</v>
      </c>
      <c r="B82" s="80" t="s">
        <v>46</v>
      </c>
      <c r="C82" s="79">
        <v>55945.710200000001</v>
      </c>
      <c r="D82" s="79" t="s">
        <v>82</v>
      </c>
      <c r="E82" s="61">
        <f t="shared" si="7"/>
        <v>10533.819902267156</v>
      </c>
      <c r="F82" s="61">
        <f t="shared" si="8"/>
        <v>10534</v>
      </c>
      <c r="G82" s="61">
        <f t="shared" si="13"/>
        <v>-0.29929075999825727</v>
      </c>
      <c r="I82" s="61">
        <f t="shared" si="14"/>
        <v>-0.29929075999825727</v>
      </c>
      <c r="O82" s="61">
        <f t="shared" ca="1" si="9"/>
        <v>-0.29716695273600863</v>
      </c>
      <c r="Q82" s="81">
        <f t="shared" si="10"/>
        <v>40927.210200000001</v>
      </c>
    </row>
    <row r="83" spans="1:17" s="61" customFormat="1" ht="12.95" customHeight="1" x14ac:dyDescent="0.2">
      <c r="A83" s="82" t="s">
        <v>331</v>
      </c>
      <c r="B83" s="83" t="s">
        <v>46</v>
      </c>
      <c r="C83" s="84">
        <v>57391.478580000003</v>
      </c>
      <c r="D83" s="84">
        <v>5.0000000000000001E-4</v>
      </c>
      <c r="E83" s="61">
        <f>+(C83-C$7)/C$8</f>
        <v>11403.808696628997</v>
      </c>
      <c r="F83" s="61">
        <f t="shared" si="8"/>
        <v>11404</v>
      </c>
      <c r="G83" s="61">
        <f>+C83-(C$7+F83*C$8)</f>
        <v>-0.31791255999269197</v>
      </c>
      <c r="K83" s="61">
        <f>+G83</f>
        <v>-0.31791255999269197</v>
      </c>
      <c r="O83" s="61">
        <f ca="1">+C$11+C$12*F83</f>
        <v>-0.31738547910917675</v>
      </c>
      <c r="Q83" s="81">
        <f>+C83-15018.5</f>
        <v>42372.978580000003</v>
      </c>
    </row>
    <row r="84" spans="1:17" s="61" customFormat="1" ht="12.95" customHeight="1" x14ac:dyDescent="0.2">
      <c r="A84" s="85" t="s">
        <v>0</v>
      </c>
      <c r="B84" s="86" t="s">
        <v>46</v>
      </c>
      <c r="C84" s="86">
        <v>57760.400600000001</v>
      </c>
      <c r="D84" s="86">
        <v>4.0000000000000002E-4</v>
      </c>
      <c r="E84" s="61">
        <f>+(C84-C$7)/C$8</f>
        <v>11625.806928042339</v>
      </c>
      <c r="F84" s="61">
        <f t="shared" si="8"/>
        <v>11626</v>
      </c>
      <c r="G84" s="61">
        <f>+C84-(C$7+F84*C$8)</f>
        <v>-0.32085163999727229</v>
      </c>
      <c r="K84" s="61">
        <f>+G84</f>
        <v>-0.32085163999727229</v>
      </c>
      <c r="O84" s="61">
        <f ca="1">+C$11+C$12*F84</f>
        <v>-0.32254468928715757</v>
      </c>
      <c r="Q84" s="81">
        <f>+C84-15018.5</f>
        <v>42741.900600000001</v>
      </c>
    </row>
    <row r="85" spans="1:17" s="61" customFormat="1" ht="12.95" customHeight="1" x14ac:dyDescent="0.2">
      <c r="A85" s="87" t="s">
        <v>332</v>
      </c>
      <c r="B85" s="88" t="s">
        <v>46</v>
      </c>
      <c r="C85" s="89">
        <v>58917.018700000001</v>
      </c>
      <c r="D85" s="89" t="s">
        <v>81</v>
      </c>
      <c r="E85" s="61">
        <f>+(C85-C$7)/C$8</f>
        <v>12321.800007069342</v>
      </c>
      <c r="F85" s="61">
        <f>ROUND(2*E85,0)/2</f>
        <v>12322</v>
      </c>
      <c r="G85" s="61">
        <f>+C85-(C$7+F85*C$8)</f>
        <v>-0.33235307999711949</v>
      </c>
      <c r="K85" s="61">
        <f>+G85</f>
        <v>-0.33235307999711949</v>
      </c>
      <c r="O85" s="61">
        <f ca="1">+C$11+C$12*F85</f>
        <v>-0.33871951038569209</v>
      </c>
      <c r="Q85" s="81">
        <f>+C85-15018.5</f>
        <v>43898.518700000001</v>
      </c>
    </row>
    <row r="86" spans="1:17" s="61" customFormat="1" ht="12.95" customHeight="1" x14ac:dyDescent="0.2">
      <c r="A86" s="57" t="s">
        <v>333</v>
      </c>
      <c r="B86" s="58" t="s">
        <v>46</v>
      </c>
      <c r="C86" s="93">
        <v>59503.631300000001</v>
      </c>
      <c r="D86" s="59">
        <v>3.5000000000000001E-3</v>
      </c>
      <c r="E86" s="61">
        <f t="shared" ref="E86:E88" si="15">+(C86-C$7)/C$8</f>
        <v>12674.793194423088</v>
      </c>
      <c r="F86" s="61">
        <f t="shared" ref="F86:F88" si="16">ROUND(2*E86,0)/2</f>
        <v>12675</v>
      </c>
      <c r="G86" s="61">
        <f t="shared" ref="G86:G88" si="17">+C86-(C$7+F86*C$8)</f>
        <v>-0.3436744999999064</v>
      </c>
      <c r="K86" s="61">
        <f t="shared" ref="K86:K88" si="18">+G86</f>
        <v>-0.3436744999999064</v>
      </c>
      <c r="O86" s="61">
        <f t="shared" ref="O86:O88" ca="1" si="19">+C$11+C$12*F86</f>
        <v>-0.34692311936239134</v>
      </c>
      <c r="Q86" s="81">
        <f t="shared" ref="Q86:Q88" si="20">+C86-15018.5</f>
        <v>44485.131300000001</v>
      </c>
    </row>
    <row r="87" spans="1:17" s="61" customFormat="1" ht="12.95" customHeight="1" x14ac:dyDescent="0.2">
      <c r="A87" s="57" t="s">
        <v>333</v>
      </c>
      <c r="B87" s="58" t="s">
        <v>46</v>
      </c>
      <c r="C87" s="93">
        <v>59608.3243</v>
      </c>
      <c r="D87" s="59">
        <v>3.5000000000000001E-3</v>
      </c>
      <c r="E87" s="61">
        <f t="shared" si="15"/>
        <v>12737.792038572747</v>
      </c>
      <c r="F87" s="61">
        <f t="shared" si="16"/>
        <v>12738</v>
      </c>
      <c r="G87" s="61">
        <f t="shared" si="17"/>
        <v>-0.34559531999548199</v>
      </c>
      <c r="K87" s="61">
        <f t="shared" si="18"/>
        <v>-0.34559531999548199</v>
      </c>
      <c r="O87" s="61">
        <f t="shared" ca="1" si="19"/>
        <v>-0.34838721954803453</v>
      </c>
      <c r="Q87" s="81">
        <f t="shared" si="20"/>
        <v>44589.8243</v>
      </c>
    </row>
    <row r="88" spans="1:17" s="61" customFormat="1" ht="12.95" customHeight="1" x14ac:dyDescent="0.2">
      <c r="A88" s="57" t="s">
        <v>333</v>
      </c>
      <c r="B88" s="58" t="s">
        <v>46</v>
      </c>
      <c r="C88" s="93">
        <v>59612.4804</v>
      </c>
      <c r="D88" s="59">
        <v>3.5000000000000001E-3</v>
      </c>
      <c r="E88" s="61">
        <f t="shared" si="15"/>
        <v>12740.292965054654</v>
      </c>
      <c r="F88" s="61">
        <f t="shared" si="16"/>
        <v>12740.5</v>
      </c>
      <c r="G88" s="61">
        <f t="shared" si="17"/>
        <v>-0.34405567000067094</v>
      </c>
      <c r="K88" s="61">
        <f t="shared" si="18"/>
        <v>-0.34405567000067094</v>
      </c>
      <c r="O88" s="61">
        <f t="shared" ca="1" si="19"/>
        <v>-0.34844531876175056</v>
      </c>
      <c r="Q88" s="81">
        <f t="shared" si="20"/>
        <v>44593.9804</v>
      </c>
    </row>
    <row r="89" spans="1:17" s="61" customFormat="1" ht="12.95" customHeight="1" x14ac:dyDescent="0.2">
      <c r="A89" s="90" t="s">
        <v>334</v>
      </c>
      <c r="B89" s="91" t="s">
        <v>46</v>
      </c>
      <c r="C89" s="59">
        <v>59960.622199999998</v>
      </c>
      <c r="D89" s="59">
        <v>5.9999999999999995E-4</v>
      </c>
      <c r="E89" s="61">
        <f t="shared" ref="E89" si="21">+(C89-C$7)/C$8</f>
        <v>12949.786732548006</v>
      </c>
      <c r="F89" s="61">
        <f t="shared" ref="F89" si="22">ROUND(2*E89,0)/2</f>
        <v>12950</v>
      </c>
      <c r="G89" s="61">
        <f t="shared" ref="G89" si="23">+C89-(C$7+F89*C$8)</f>
        <v>-0.35441300000093179</v>
      </c>
      <c r="K89" s="61">
        <f t="shared" ref="K89" si="24">+G89</f>
        <v>-0.35441300000093179</v>
      </c>
      <c r="O89" s="61">
        <f t="shared" ref="O89" ca="1" si="25">+C$11+C$12*F89</f>
        <v>-0.35331403287115137</v>
      </c>
      <c r="Q89" s="81">
        <f t="shared" ref="Q89" si="26">+C89-15018.5</f>
        <v>44942.122199999998</v>
      </c>
    </row>
    <row r="90" spans="1:17" s="61" customFormat="1" ht="12.95" customHeight="1" x14ac:dyDescent="0.2">
      <c r="B90" s="92"/>
      <c r="C90" s="62"/>
      <c r="D90" s="62"/>
    </row>
    <row r="91" spans="1:17" s="61" customFormat="1" ht="12.95" customHeight="1" x14ac:dyDescent="0.2">
      <c r="B91" s="92"/>
      <c r="C91" s="62"/>
      <c r="D91" s="62"/>
    </row>
    <row r="92" spans="1:17" s="61" customFormat="1" ht="12.95" customHeight="1" x14ac:dyDescent="0.2">
      <c r="B92" s="92"/>
      <c r="C92" s="62"/>
      <c r="D92" s="62"/>
    </row>
    <row r="93" spans="1:17" s="61" customFormat="1" ht="12.95" customHeight="1" x14ac:dyDescent="0.2">
      <c r="B93" s="92"/>
      <c r="C93" s="62"/>
      <c r="D93" s="62"/>
    </row>
    <row r="94" spans="1:17" s="61" customFormat="1" ht="12.95" customHeight="1" x14ac:dyDescent="0.2">
      <c r="B94" s="92"/>
      <c r="C94" s="62"/>
      <c r="D94" s="62"/>
    </row>
    <row r="95" spans="1:17" s="61" customFormat="1" ht="12.95" customHeight="1" x14ac:dyDescent="0.2">
      <c r="B95" s="92"/>
      <c r="C95" s="62"/>
      <c r="D95" s="62"/>
    </row>
    <row r="96" spans="1:17" s="61" customFormat="1" ht="12.95" customHeight="1" x14ac:dyDescent="0.2">
      <c r="B96" s="92"/>
      <c r="C96" s="62"/>
      <c r="D96" s="62"/>
    </row>
    <row r="97" spans="2:4" s="61" customFormat="1" ht="12.95" customHeight="1" x14ac:dyDescent="0.2">
      <c r="B97" s="92"/>
      <c r="C97" s="62"/>
      <c r="D97" s="62"/>
    </row>
    <row r="98" spans="2:4" s="61" customFormat="1" ht="12.95" customHeight="1" x14ac:dyDescent="0.2">
      <c r="B98" s="92"/>
      <c r="C98" s="62"/>
      <c r="D98" s="62"/>
    </row>
    <row r="99" spans="2:4" s="61" customFormat="1" ht="12.95" customHeight="1" x14ac:dyDescent="0.2">
      <c r="B99" s="92"/>
      <c r="C99" s="62"/>
      <c r="D99" s="62"/>
    </row>
    <row r="100" spans="2:4" s="61" customFormat="1" ht="12.95" customHeight="1" x14ac:dyDescent="0.2">
      <c r="B100" s="92"/>
      <c r="C100" s="62"/>
      <c r="D100" s="62"/>
    </row>
    <row r="101" spans="2:4" s="61" customFormat="1" ht="12.95" customHeight="1" x14ac:dyDescent="0.2">
      <c r="B101" s="92"/>
      <c r="C101" s="62"/>
      <c r="D101" s="62"/>
    </row>
    <row r="102" spans="2:4" s="61" customFormat="1" ht="12.95" customHeight="1" x14ac:dyDescent="0.2">
      <c r="B102" s="92"/>
      <c r="C102" s="62"/>
      <c r="D102" s="62"/>
    </row>
    <row r="103" spans="2:4" s="61" customFormat="1" ht="12.95" customHeight="1" x14ac:dyDescent="0.2">
      <c r="B103" s="92"/>
      <c r="C103" s="62"/>
      <c r="D103" s="62"/>
    </row>
    <row r="104" spans="2:4" s="61" customFormat="1" ht="12.95" customHeight="1" x14ac:dyDescent="0.2">
      <c r="B104" s="92"/>
      <c r="C104" s="62"/>
      <c r="D104" s="62"/>
    </row>
    <row r="105" spans="2:4" s="61" customFormat="1" ht="12.95" customHeight="1" x14ac:dyDescent="0.2">
      <c r="B105" s="92"/>
      <c r="C105" s="62"/>
      <c r="D105" s="62"/>
    </row>
    <row r="106" spans="2:4" s="61" customFormat="1" ht="12.95" customHeight="1" x14ac:dyDescent="0.2">
      <c r="B106" s="92"/>
      <c r="C106" s="62"/>
      <c r="D106" s="62"/>
    </row>
    <row r="107" spans="2:4" s="61" customFormat="1" ht="12.95" customHeight="1" x14ac:dyDescent="0.2">
      <c r="B107" s="92"/>
      <c r="C107" s="62"/>
      <c r="D107" s="62"/>
    </row>
    <row r="108" spans="2:4" s="61" customFormat="1" ht="12.95" customHeight="1" x14ac:dyDescent="0.2">
      <c r="B108" s="92"/>
      <c r="C108" s="62"/>
      <c r="D108" s="62"/>
    </row>
    <row r="109" spans="2:4" s="61" customFormat="1" ht="12.95" customHeight="1" x14ac:dyDescent="0.2">
      <c r="B109" s="92"/>
      <c r="C109" s="62"/>
      <c r="D109" s="62"/>
    </row>
    <row r="110" spans="2:4" s="61" customFormat="1" ht="12.95" customHeight="1" x14ac:dyDescent="0.2">
      <c r="B110" s="92"/>
      <c r="C110" s="62"/>
      <c r="D110" s="62"/>
    </row>
    <row r="111" spans="2:4" s="61" customFormat="1" ht="12.95" customHeight="1" x14ac:dyDescent="0.2">
      <c r="B111" s="92"/>
      <c r="C111" s="62"/>
      <c r="D111" s="62"/>
    </row>
    <row r="112" spans="2:4" s="61" customFormat="1" ht="12.95" customHeight="1" x14ac:dyDescent="0.2">
      <c r="B112" s="92"/>
      <c r="C112" s="62"/>
      <c r="D112" s="62"/>
    </row>
    <row r="113" spans="2:4" s="61" customFormat="1" ht="12.95" customHeight="1" x14ac:dyDescent="0.2">
      <c r="B113" s="92"/>
      <c r="C113" s="62"/>
      <c r="D113" s="62"/>
    </row>
    <row r="114" spans="2:4" s="61" customFormat="1" ht="12.95" customHeight="1" x14ac:dyDescent="0.2">
      <c r="B114" s="92"/>
      <c r="C114" s="62"/>
      <c r="D114" s="62"/>
    </row>
    <row r="115" spans="2:4" s="61" customFormat="1" ht="12.95" customHeight="1" x14ac:dyDescent="0.2">
      <c r="B115" s="92"/>
      <c r="C115" s="62"/>
      <c r="D115" s="62"/>
    </row>
    <row r="116" spans="2:4" s="61" customFormat="1" ht="12.95" customHeight="1" x14ac:dyDescent="0.2">
      <c r="B116" s="92"/>
      <c r="C116" s="62"/>
      <c r="D116" s="62"/>
    </row>
    <row r="117" spans="2:4" s="61" customFormat="1" ht="12.95" customHeight="1" x14ac:dyDescent="0.2">
      <c r="B117" s="92"/>
      <c r="C117" s="62"/>
      <c r="D117" s="62"/>
    </row>
    <row r="118" spans="2:4" s="61" customFormat="1" ht="12.95" customHeight="1" x14ac:dyDescent="0.2">
      <c r="B118" s="92"/>
      <c r="C118" s="62"/>
      <c r="D118" s="62"/>
    </row>
    <row r="119" spans="2:4" s="61" customFormat="1" ht="12.95" customHeight="1" x14ac:dyDescent="0.2">
      <c r="B119" s="92"/>
      <c r="C119" s="62"/>
      <c r="D119" s="62"/>
    </row>
    <row r="120" spans="2:4" s="61" customFormat="1" ht="12.95" customHeight="1" x14ac:dyDescent="0.2">
      <c r="B120" s="92"/>
      <c r="C120" s="62"/>
      <c r="D120" s="62"/>
    </row>
    <row r="121" spans="2:4" s="61" customFormat="1" ht="12.95" customHeight="1" x14ac:dyDescent="0.2">
      <c r="B121" s="92"/>
      <c r="C121" s="62"/>
      <c r="D121" s="62"/>
    </row>
    <row r="122" spans="2:4" s="61" customFormat="1" ht="12.95" customHeight="1" x14ac:dyDescent="0.2">
      <c r="B122" s="92"/>
      <c r="C122" s="62"/>
      <c r="D122" s="62"/>
    </row>
    <row r="123" spans="2:4" s="61" customFormat="1" ht="12.95" customHeight="1" x14ac:dyDescent="0.2">
      <c r="B123" s="92"/>
      <c r="C123" s="62"/>
      <c r="D123" s="62"/>
    </row>
    <row r="124" spans="2:4" s="61" customFormat="1" ht="12.95" customHeight="1" x14ac:dyDescent="0.2">
      <c r="B124" s="92"/>
      <c r="C124" s="62"/>
      <c r="D124" s="62"/>
    </row>
    <row r="125" spans="2:4" s="61" customFormat="1" ht="12.95" customHeight="1" x14ac:dyDescent="0.2">
      <c r="B125" s="92"/>
      <c r="C125" s="62"/>
      <c r="D125" s="62"/>
    </row>
    <row r="126" spans="2:4" s="61" customFormat="1" ht="12.95" customHeight="1" x14ac:dyDescent="0.2">
      <c r="B126" s="92"/>
      <c r="C126" s="62"/>
      <c r="D126" s="62"/>
    </row>
    <row r="127" spans="2:4" s="61" customFormat="1" ht="12.95" customHeight="1" x14ac:dyDescent="0.2">
      <c r="B127" s="92"/>
      <c r="C127" s="62"/>
      <c r="D127" s="62"/>
    </row>
    <row r="128" spans="2:4" x14ac:dyDescent="0.2">
      <c r="B128" s="5"/>
    </row>
  </sheetData>
  <protectedRanges>
    <protectedRange sqref="A85:D85" name="Range1"/>
  </protectedRanges>
  <phoneticPr fontId="8" type="noConversion"/>
  <hyperlinks>
    <hyperlink ref="H445" r:id="rId1" display="http://vsolj.cetus-net.org/bulletin.html" xr:uid="{00000000-0004-0000-0000-000000000000}"/>
    <hyperlink ref="H444" r:id="rId2" display="http://vsolj.cetus-net.org/bulletin.html" xr:uid="{00000000-0004-0000-0000-000001000000}"/>
    <hyperlink ref="H437" r:id="rId3" display="http://vsolj.cetus-net.org/bulletin.html" xr:uid="{00000000-0004-0000-0000-000002000000}"/>
    <hyperlink ref="H64493" r:id="rId4" display="http://vsolj.cetus-net.org/bulletin.html" xr:uid="{00000000-0004-0000-0000-000003000000}"/>
    <hyperlink ref="H64486" r:id="rId5" display="https://www.aavso.org/ejaavso" xr:uid="{00000000-0004-0000-0000-000004000000}"/>
    <hyperlink ref="AP637" r:id="rId6" display="http://cdsbib.u-strasbg.fr/cgi-bin/cdsbib?1990RMxAA..21..381G" xr:uid="{00000000-0004-0000-0000-000005000000}"/>
    <hyperlink ref="AP641" r:id="rId7" display="http://cdsbib.u-strasbg.fr/cgi-bin/cdsbib?1990RMxAA..21..381G" xr:uid="{00000000-0004-0000-0000-000006000000}"/>
    <hyperlink ref="AP640" r:id="rId8" display="http://cdsbib.u-strasbg.fr/cgi-bin/cdsbib?1990RMxAA..21..381G" xr:uid="{00000000-0004-0000-0000-000007000000}"/>
    <hyperlink ref="AP621" r:id="rId9" display="http://cdsbib.u-strasbg.fr/cgi-bin/cdsbib?1990RMxAA..21..381G" xr:uid="{00000000-0004-0000-0000-000008000000}"/>
    <hyperlink ref="I64493" r:id="rId10" display="http://vsolj.cetus-net.org/bulletin.html" xr:uid="{00000000-0004-0000-0000-000009000000}"/>
    <hyperlink ref="AQ777" r:id="rId11" display="http://cdsbib.u-strasbg.fr/cgi-bin/cdsbib?1990RMxAA..21..381G" xr:uid="{00000000-0004-0000-0000-00000A000000}"/>
    <hyperlink ref="AQ55543" r:id="rId12" display="http://cdsbib.u-strasbg.fr/cgi-bin/cdsbib?1990RMxAA..21..381G" xr:uid="{00000000-0004-0000-0000-00000B000000}"/>
    <hyperlink ref="AQ778" r:id="rId13" display="http://cdsbib.u-strasbg.fr/cgi-bin/cdsbib?1990RMxAA..21..381G" xr:uid="{00000000-0004-0000-0000-00000C000000}"/>
    <hyperlink ref="H64490" r:id="rId14" display="https://www.aavso.org/ejaavso" xr:uid="{00000000-0004-0000-0000-00000D000000}"/>
    <hyperlink ref="H1663" r:id="rId15" display="http://vsolj.cetus-net.org/bulletin.html" xr:uid="{00000000-0004-0000-0000-00000E000000}"/>
    <hyperlink ref="AP2907" r:id="rId16" display="http://cdsbib.u-strasbg.fr/cgi-bin/cdsbib?1990RMxAA..21..381G" xr:uid="{00000000-0004-0000-0000-00000F000000}"/>
    <hyperlink ref="AP2910" r:id="rId17" display="http://cdsbib.u-strasbg.fr/cgi-bin/cdsbib?1990RMxAA..21..381G" xr:uid="{00000000-0004-0000-0000-000010000000}"/>
    <hyperlink ref="AP2908" r:id="rId18" display="http://cdsbib.u-strasbg.fr/cgi-bin/cdsbib?1990RMxAA..21..381G" xr:uid="{00000000-0004-0000-0000-000011000000}"/>
    <hyperlink ref="AP2892" r:id="rId19" display="http://cdsbib.u-strasbg.fr/cgi-bin/cdsbib?1990RMxAA..21..381G" xr:uid="{00000000-0004-0000-0000-000012000000}"/>
    <hyperlink ref="I1663" r:id="rId20" display="http://vsolj.cetus-net.org/bulletin.html" xr:uid="{00000000-0004-0000-0000-000013000000}"/>
    <hyperlink ref="AQ3121" r:id="rId21" display="http://cdsbib.u-strasbg.fr/cgi-bin/cdsbib?1990RMxAA..21..381G" xr:uid="{00000000-0004-0000-0000-000014000000}"/>
    <hyperlink ref="AQ65358" r:id="rId22" display="http://cdsbib.u-strasbg.fr/cgi-bin/cdsbib?1990RMxAA..21..381G" xr:uid="{00000000-0004-0000-0000-000015000000}"/>
    <hyperlink ref="AQ3125" r:id="rId23" display="http://cdsbib.u-strasbg.fr/cgi-bin/cdsbib?1990RMxAA..21..381G" xr:uid="{00000000-0004-0000-0000-000016000000}"/>
  </hyperlinks>
  <pageMargins left="0.75" right="0.75" top="1" bottom="1" header="0.5" footer="0.5"/>
  <pageSetup orientation="portrait" r:id="rId24"/>
  <headerFooter alignWithMargins="0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5"/>
  <sheetViews>
    <sheetView topLeftCell="A22" workbookViewId="0">
      <selection activeCell="A26" sqref="A26:D71"/>
    </sheetView>
  </sheetViews>
  <sheetFormatPr defaultRowHeight="12.75" x14ac:dyDescent="0.2"/>
  <cols>
    <col min="1" max="1" width="19.7109375" style="15" customWidth="1"/>
    <col min="2" max="2" width="4.42578125" style="13" customWidth="1"/>
    <col min="3" max="3" width="12.7109375" style="1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4" t="s">
        <v>73</v>
      </c>
      <c r="I1" s="45" t="s">
        <v>74</v>
      </c>
      <c r="J1" s="46" t="s">
        <v>75</v>
      </c>
    </row>
    <row r="2" spans="1:16" x14ac:dyDescent="0.2">
      <c r="I2" s="47" t="s">
        <v>76</v>
      </c>
      <c r="J2" s="48" t="s">
        <v>77</v>
      </c>
    </row>
    <row r="3" spans="1:16" x14ac:dyDescent="0.2">
      <c r="A3" s="49" t="s">
        <v>78</v>
      </c>
      <c r="I3" s="47" t="s">
        <v>79</v>
      </c>
      <c r="J3" s="48" t="s">
        <v>31</v>
      </c>
    </row>
    <row r="4" spans="1:16" x14ac:dyDescent="0.2">
      <c r="I4" s="47" t="s">
        <v>80</v>
      </c>
      <c r="J4" s="48" t="s">
        <v>31</v>
      </c>
    </row>
    <row r="5" spans="1:16" ht="13.5" thickBot="1" x14ac:dyDescent="0.25">
      <c r="I5" s="50" t="s">
        <v>81</v>
      </c>
      <c r="J5" s="51" t="s">
        <v>82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 MHAR 22.2 </v>
      </c>
      <c r="B11" s="5" t="str">
        <f t="shared" ref="B11:B42" si="1">IF(H11=INT(H11),"I","II")</f>
        <v>I</v>
      </c>
      <c r="C11" s="15">
        <f t="shared" ref="C11:C42" si="2">1*G11</f>
        <v>40477.593000000001</v>
      </c>
      <c r="D11" s="13" t="str">
        <f t="shared" ref="D11:D42" si="3">VLOOKUP(F11,I$1:J$5,2,FALSE)</f>
        <v>vis</v>
      </c>
      <c r="E11" s="52">
        <f>VLOOKUP(C11,Active!C$21:E$973,3,FALSE)</f>
        <v>1225.9052874271049</v>
      </c>
      <c r="F11" s="5" t="s">
        <v>81</v>
      </c>
      <c r="G11" s="13" t="str">
        <f t="shared" ref="G11:G42" si="4">MID(I11,3,LEN(I11)-3)</f>
        <v>40477.593</v>
      </c>
      <c r="H11" s="15">
        <f t="shared" ref="H11:H42" si="5">1*K11</f>
        <v>1226</v>
      </c>
      <c r="I11" s="53" t="s">
        <v>183</v>
      </c>
      <c r="J11" s="54" t="s">
        <v>184</v>
      </c>
      <c r="K11" s="53">
        <v>1226</v>
      </c>
      <c r="L11" s="53" t="s">
        <v>185</v>
      </c>
      <c r="M11" s="54" t="s">
        <v>86</v>
      </c>
      <c r="N11" s="54"/>
      <c r="O11" s="55" t="s">
        <v>165</v>
      </c>
      <c r="P11" s="55" t="s">
        <v>182</v>
      </c>
    </row>
    <row r="12" spans="1:16" ht="12.75" customHeight="1" thickBot="1" x14ac:dyDescent="0.25">
      <c r="A12" s="15" t="str">
        <f t="shared" si="0"/>
        <v> MHAR 22.2 </v>
      </c>
      <c r="B12" s="5" t="str">
        <f t="shared" si="1"/>
        <v>I</v>
      </c>
      <c r="C12" s="15">
        <f t="shared" si="2"/>
        <v>40512.601000000002</v>
      </c>
      <c r="D12" s="13" t="str">
        <f t="shared" si="3"/>
        <v>vis</v>
      </c>
      <c r="E12" s="52">
        <f>VLOOKUP(C12,Active!C$21:E$973,3,FALSE)</f>
        <v>1246.9712950493083</v>
      </c>
      <c r="F12" s="5" t="s">
        <v>81</v>
      </c>
      <c r="G12" s="13" t="str">
        <f t="shared" si="4"/>
        <v>40512.601</v>
      </c>
      <c r="H12" s="15">
        <f t="shared" si="5"/>
        <v>1247</v>
      </c>
      <c r="I12" s="53" t="s">
        <v>186</v>
      </c>
      <c r="J12" s="54" t="s">
        <v>187</v>
      </c>
      <c r="K12" s="53">
        <v>1247</v>
      </c>
      <c r="L12" s="53" t="s">
        <v>188</v>
      </c>
      <c r="M12" s="54" t="s">
        <v>86</v>
      </c>
      <c r="N12" s="54"/>
      <c r="O12" s="55" t="s">
        <v>165</v>
      </c>
      <c r="P12" s="55" t="s">
        <v>182</v>
      </c>
    </row>
    <row r="13" spans="1:16" ht="12.75" customHeight="1" thickBot="1" x14ac:dyDescent="0.25">
      <c r="A13" s="15" t="str">
        <f t="shared" si="0"/>
        <v> MHAR 22.2 </v>
      </c>
      <c r="B13" s="5" t="str">
        <f t="shared" si="1"/>
        <v>I</v>
      </c>
      <c r="C13" s="15">
        <f t="shared" si="2"/>
        <v>40532.578000000001</v>
      </c>
      <c r="D13" s="13" t="str">
        <f t="shared" si="3"/>
        <v>vis</v>
      </c>
      <c r="E13" s="52">
        <f>VLOOKUP(C13,Active!C$21:E$973,3,FALSE)</f>
        <v>1258.9924226278251</v>
      </c>
      <c r="F13" s="5" t="s">
        <v>81</v>
      </c>
      <c r="G13" s="13" t="str">
        <f t="shared" si="4"/>
        <v>40532.578</v>
      </c>
      <c r="H13" s="15">
        <f t="shared" si="5"/>
        <v>1259</v>
      </c>
      <c r="I13" s="53" t="s">
        <v>189</v>
      </c>
      <c r="J13" s="54" t="s">
        <v>190</v>
      </c>
      <c r="K13" s="53">
        <v>1259</v>
      </c>
      <c r="L13" s="53" t="s">
        <v>191</v>
      </c>
      <c r="M13" s="54" t="s">
        <v>86</v>
      </c>
      <c r="N13" s="54"/>
      <c r="O13" s="55" t="s">
        <v>165</v>
      </c>
      <c r="P13" s="55" t="s">
        <v>182</v>
      </c>
    </row>
    <row r="14" spans="1:16" ht="12.75" customHeight="1" thickBot="1" x14ac:dyDescent="0.25">
      <c r="A14" s="15" t="str">
        <f t="shared" si="0"/>
        <v> MHAR 22.2 </v>
      </c>
      <c r="B14" s="5" t="str">
        <f t="shared" si="1"/>
        <v>I</v>
      </c>
      <c r="C14" s="15">
        <f t="shared" si="2"/>
        <v>41240.525999999998</v>
      </c>
      <c r="D14" s="13" t="str">
        <f t="shared" si="3"/>
        <v>vis</v>
      </c>
      <c r="E14" s="52">
        <f>VLOOKUP(C14,Active!C$21:E$973,3,FALSE)</f>
        <v>1684.9989915298731</v>
      </c>
      <c r="F14" s="5" t="s">
        <v>81</v>
      </c>
      <c r="G14" s="13" t="str">
        <f t="shared" si="4"/>
        <v>41240.526</v>
      </c>
      <c r="H14" s="15">
        <f t="shared" si="5"/>
        <v>1685</v>
      </c>
      <c r="I14" s="53" t="s">
        <v>192</v>
      </c>
      <c r="J14" s="54" t="s">
        <v>193</v>
      </c>
      <c r="K14" s="53">
        <v>1685</v>
      </c>
      <c r="L14" s="53" t="s">
        <v>194</v>
      </c>
      <c r="M14" s="54" t="s">
        <v>86</v>
      </c>
      <c r="N14" s="54"/>
      <c r="O14" s="55" t="s">
        <v>165</v>
      </c>
      <c r="P14" s="55" t="s">
        <v>182</v>
      </c>
    </row>
    <row r="15" spans="1:16" ht="12.75" customHeight="1" thickBot="1" x14ac:dyDescent="0.25">
      <c r="A15" s="15" t="str">
        <f t="shared" si="0"/>
        <v> MHAR 22.2 </v>
      </c>
      <c r="B15" s="5" t="str">
        <f t="shared" si="1"/>
        <v>I</v>
      </c>
      <c r="C15" s="15">
        <f t="shared" si="2"/>
        <v>42016.463000000003</v>
      </c>
      <c r="D15" s="13" t="str">
        <f t="shared" si="3"/>
        <v>vis</v>
      </c>
      <c r="E15" s="52">
        <f>VLOOKUP(C15,Active!C$21:E$973,3,FALSE)</f>
        <v>2151.917831690665</v>
      </c>
      <c r="F15" s="5" t="s">
        <v>81</v>
      </c>
      <c r="G15" s="13" t="str">
        <f t="shared" si="4"/>
        <v>42016.463</v>
      </c>
      <c r="H15" s="15">
        <f t="shared" si="5"/>
        <v>2152</v>
      </c>
      <c r="I15" s="53" t="s">
        <v>195</v>
      </c>
      <c r="J15" s="54" t="s">
        <v>196</v>
      </c>
      <c r="K15" s="53">
        <v>2152</v>
      </c>
      <c r="L15" s="53" t="s">
        <v>197</v>
      </c>
      <c r="M15" s="54" t="s">
        <v>86</v>
      </c>
      <c r="N15" s="54"/>
      <c r="O15" s="55" t="s">
        <v>165</v>
      </c>
      <c r="P15" s="55" t="s">
        <v>182</v>
      </c>
    </row>
    <row r="16" spans="1:16" ht="12.75" customHeight="1" thickBot="1" x14ac:dyDescent="0.25">
      <c r="A16" s="15" t="str">
        <f t="shared" si="0"/>
        <v> MHAR 22.2 </v>
      </c>
      <c r="B16" s="5" t="str">
        <f t="shared" si="1"/>
        <v>I</v>
      </c>
      <c r="C16" s="15">
        <f t="shared" si="2"/>
        <v>42714.453999999998</v>
      </c>
      <c r="D16" s="13" t="str">
        <f t="shared" si="3"/>
        <v>vis</v>
      </c>
      <c r="E16" s="52">
        <f>VLOOKUP(C16,Active!C$21:E$973,3,FALSE)</f>
        <v>2571.9327918777244</v>
      </c>
      <c r="F16" s="5" t="s">
        <v>81</v>
      </c>
      <c r="G16" s="13" t="str">
        <f t="shared" si="4"/>
        <v>42714.454</v>
      </c>
      <c r="H16" s="15">
        <f t="shared" si="5"/>
        <v>2572</v>
      </c>
      <c r="I16" s="53" t="s">
        <v>198</v>
      </c>
      <c r="J16" s="54" t="s">
        <v>199</v>
      </c>
      <c r="K16" s="53">
        <v>2572</v>
      </c>
      <c r="L16" s="53" t="s">
        <v>200</v>
      </c>
      <c r="M16" s="54" t="s">
        <v>86</v>
      </c>
      <c r="N16" s="54"/>
      <c r="O16" s="55" t="s">
        <v>165</v>
      </c>
      <c r="P16" s="55" t="s">
        <v>182</v>
      </c>
    </row>
    <row r="17" spans="1:16" ht="12.75" customHeight="1" thickBot="1" x14ac:dyDescent="0.25">
      <c r="A17" s="15" t="str">
        <f t="shared" si="0"/>
        <v> MHAR 22.2 </v>
      </c>
      <c r="B17" s="5" t="str">
        <f t="shared" si="1"/>
        <v>I</v>
      </c>
      <c r="C17" s="15">
        <f t="shared" si="2"/>
        <v>44118.597000000002</v>
      </c>
      <c r="D17" s="13" t="str">
        <f t="shared" si="3"/>
        <v>vis</v>
      </c>
      <c r="E17" s="52">
        <f>VLOOKUP(C17,Active!C$21:E$973,3,FALSE)</f>
        <v>3416.873580859165</v>
      </c>
      <c r="F17" s="5" t="s">
        <v>81</v>
      </c>
      <c r="G17" s="13" t="str">
        <f t="shared" si="4"/>
        <v>44118.597</v>
      </c>
      <c r="H17" s="15">
        <f t="shared" si="5"/>
        <v>3417</v>
      </c>
      <c r="I17" s="53" t="s">
        <v>204</v>
      </c>
      <c r="J17" s="54" t="s">
        <v>205</v>
      </c>
      <c r="K17" s="53">
        <v>3417</v>
      </c>
      <c r="L17" s="53" t="s">
        <v>206</v>
      </c>
      <c r="M17" s="54" t="s">
        <v>86</v>
      </c>
      <c r="N17" s="54"/>
      <c r="O17" s="55" t="s">
        <v>165</v>
      </c>
      <c r="P17" s="55" t="s">
        <v>182</v>
      </c>
    </row>
    <row r="18" spans="1:16" ht="12.75" customHeight="1" thickBot="1" x14ac:dyDescent="0.25">
      <c r="A18" s="15" t="str">
        <f t="shared" si="0"/>
        <v> MHAR 22.2 </v>
      </c>
      <c r="B18" s="5" t="str">
        <f t="shared" si="1"/>
        <v>I</v>
      </c>
      <c r="C18" s="15">
        <f t="shared" si="2"/>
        <v>45368.296999999999</v>
      </c>
      <c r="D18" s="13" t="str">
        <f t="shared" si="3"/>
        <v>vis</v>
      </c>
      <c r="E18" s="52">
        <f>VLOOKUP(C18,Active!C$21:E$973,3,FALSE)</f>
        <v>4168.8785433096427</v>
      </c>
      <c r="F18" s="5" t="s">
        <v>81</v>
      </c>
      <c r="G18" s="13" t="str">
        <f t="shared" si="4"/>
        <v>45368.297</v>
      </c>
      <c r="H18" s="15">
        <f t="shared" si="5"/>
        <v>4169</v>
      </c>
      <c r="I18" s="53" t="s">
        <v>207</v>
      </c>
      <c r="J18" s="54" t="s">
        <v>208</v>
      </c>
      <c r="K18" s="53">
        <v>4169</v>
      </c>
      <c r="L18" s="53" t="s">
        <v>209</v>
      </c>
      <c r="M18" s="54" t="s">
        <v>86</v>
      </c>
      <c r="N18" s="54"/>
      <c r="O18" s="55" t="s">
        <v>165</v>
      </c>
      <c r="P18" s="55" t="s">
        <v>182</v>
      </c>
    </row>
    <row r="19" spans="1:16" ht="12.75" customHeight="1" thickBot="1" x14ac:dyDescent="0.25">
      <c r="A19" s="15" t="str">
        <f t="shared" si="0"/>
        <v> MHAR 22.2 </v>
      </c>
      <c r="B19" s="5" t="str">
        <f t="shared" si="1"/>
        <v>I</v>
      </c>
      <c r="C19" s="15">
        <f t="shared" si="2"/>
        <v>45647.514999999999</v>
      </c>
      <c r="D19" s="13" t="str">
        <f t="shared" si="3"/>
        <v>vis</v>
      </c>
      <c r="E19" s="52">
        <f>VLOOKUP(C19,Active!C$21:E$973,3,FALSE)</f>
        <v>4336.8975251496831</v>
      </c>
      <c r="F19" s="5" t="s">
        <v>81</v>
      </c>
      <c r="G19" s="13" t="str">
        <f t="shared" si="4"/>
        <v>45647.515</v>
      </c>
      <c r="H19" s="15">
        <f t="shared" si="5"/>
        <v>4337</v>
      </c>
      <c r="I19" s="53" t="s">
        <v>210</v>
      </c>
      <c r="J19" s="54" t="s">
        <v>211</v>
      </c>
      <c r="K19" s="53">
        <v>4337</v>
      </c>
      <c r="L19" s="53" t="s">
        <v>212</v>
      </c>
      <c r="M19" s="54" t="s">
        <v>86</v>
      </c>
      <c r="N19" s="54"/>
      <c r="O19" s="55" t="s">
        <v>165</v>
      </c>
      <c r="P19" s="55" t="s">
        <v>182</v>
      </c>
    </row>
    <row r="20" spans="1:16" ht="12.75" customHeight="1" thickBot="1" x14ac:dyDescent="0.25">
      <c r="A20" s="15" t="str">
        <f t="shared" si="0"/>
        <v> BBS 87 </v>
      </c>
      <c r="B20" s="5" t="str">
        <f t="shared" si="1"/>
        <v>I</v>
      </c>
      <c r="C20" s="15">
        <f t="shared" si="2"/>
        <v>47211.455999999998</v>
      </c>
      <c r="D20" s="13" t="str">
        <f t="shared" si="3"/>
        <v>vis</v>
      </c>
      <c r="E20" s="52">
        <f>VLOOKUP(C20,Active!C$21:E$973,3,FALSE)</f>
        <v>5277.9965032882474</v>
      </c>
      <c r="F20" s="5" t="s">
        <v>81</v>
      </c>
      <c r="G20" s="13" t="str">
        <f t="shared" si="4"/>
        <v>47211.456</v>
      </c>
      <c r="H20" s="15">
        <f t="shared" si="5"/>
        <v>5278</v>
      </c>
      <c r="I20" s="53" t="s">
        <v>213</v>
      </c>
      <c r="J20" s="54" t="s">
        <v>214</v>
      </c>
      <c r="K20" s="53">
        <v>5278</v>
      </c>
      <c r="L20" s="53" t="s">
        <v>215</v>
      </c>
      <c r="M20" s="54" t="s">
        <v>216</v>
      </c>
      <c r="N20" s="54"/>
      <c r="O20" s="55" t="s">
        <v>217</v>
      </c>
      <c r="P20" s="55" t="s">
        <v>218</v>
      </c>
    </row>
    <row r="21" spans="1:16" ht="12.75" customHeight="1" thickBot="1" x14ac:dyDescent="0.25">
      <c r="A21" s="15" t="str">
        <f t="shared" si="0"/>
        <v> BBS 88 </v>
      </c>
      <c r="B21" s="5" t="str">
        <f t="shared" si="1"/>
        <v>I</v>
      </c>
      <c r="C21" s="15">
        <f t="shared" si="2"/>
        <v>47231.425999999999</v>
      </c>
      <c r="D21" s="13" t="str">
        <f t="shared" si="3"/>
        <v>vis</v>
      </c>
      <c r="E21" s="52">
        <f>VLOOKUP(C21,Active!C$21:E$973,3,FALSE)</f>
        <v>5290.0134186280384</v>
      </c>
      <c r="F21" s="5" t="s">
        <v>81</v>
      </c>
      <c r="G21" s="13" t="str">
        <f t="shared" si="4"/>
        <v>47231.426</v>
      </c>
      <c r="H21" s="15">
        <f t="shared" si="5"/>
        <v>5290</v>
      </c>
      <c r="I21" s="53" t="s">
        <v>219</v>
      </c>
      <c r="J21" s="54" t="s">
        <v>220</v>
      </c>
      <c r="K21" s="53">
        <v>5290</v>
      </c>
      <c r="L21" s="53" t="s">
        <v>221</v>
      </c>
      <c r="M21" s="54" t="s">
        <v>216</v>
      </c>
      <c r="N21" s="54"/>
      <c r="O21" s="55" t="s">
        <v>217</v>
      </c>
      <c r="P21" s="55" t="s">
        <v>222</v>
      </c>
    </row>
    <row r="22" spans="1:16" ht="12.75" customHeight="1" thickBot="1" x14ac:dyDescent="0.25">
      <c r="A22" s="15" t="str">
        <f t="shared" si="0"/>
        <v> BBS 91 </v>
      </c>
      <c r="B22" s="5" t="str">
        <f t="shared" si="1"/>
        <v>I</v>
      </c>
      <c r="C22" s="15">
        <f t="shared" si="2"/>
        <v>47595.356</v>
      </c>
      <c r="D22" s="13" t="str">
        <f t="shared" si="3"/>
        <v>vis</v>
      </c>
      <c r="E22" s="52">
        <f>VLOOKUP(C22,Active!C$21:E$973,3,FALSE)</f>
        <v>5509.007710045661</v>
      </c>
      <c r="F22" s="5" t="s">
        <v>81</v>
      </c>
      <c r="G22" s="13" t="str">
        <f t="shared" si="4"/>
        <v>47595.356</v>
      </c>
      <c r="H22" s="15">
        <f t="shared" si="5"/>
        <v>5509</v>
      </c>
      <c r="I22" s="53" t="s">
        <v>223</v>
      </c>
      <c r="J22" s="54" t="s">
        <v>224</v>
      </c>
      <c r="K22" s="53">
        <v>5509</v>
      </c>
      <c r="L22" s="53" t="s">
        <v>225</v>
      </c>
      <c r="M22" s="54" t="s">
        <v>216</v>
      </c>
      <c r="N22" s="54"/>
      <c r="O22" s="55" t="s">
        <v>217</v>
      </c>
      <c r="P22" s="55" t="s">
        <v>226</v>
      </c>
    </row>
    <row r="23" spans="1:16" ht="12.75" customHeight="1" thickBot="1" x14ac:dyDescent="0.25">
      <c r="A23" s="15" t="str">
        <f t="shared" si="0"/>
        <v> BBS 94 </v>
      </c>
      <c r="B23" s="5" t="str">
        <f t="shared" si="1"/>
        <v>I</v>
      </c>
      <c r="C23" s="15">
        <f t="shared" si="2"/>
        <v>47914.444000000003</v>
      </c>
      <c r="D23" s="13" t="str">
        <f t="shared" si="3"/>
        <v>vis</v>
      </c>
      <c r="E23" s="52">
        <f>VLOOKUP(C23,Active!C$21:E$973,3,FALSE)</f>
        <v>5701.0184001780135</v>
      </c>
      <c r="F23" s="5" t="s">
        <v>81</v>
      </c>
      <c r="G23" s="13" t="str">
        <f t="shared" si="4"/>
        <v>47914.444</v>
      </c>
      <c r="H23" s="15">
        <f t="shared" si="5"/>
        <v>5701</v>
      </c>
      <c r="I23" s="53" t="s">
        <v>227</v>
      </c>
      <c r="J23" s="54" t="s">
        <v>228</v>
      </c>
      <c r="K23" s="53">
        <v>5701</v>
      </c>
      <c r="L23" s="53" t="s">
        <v>229</v>
      </c>
      <c r="M23" s="54" t="s">
        <v>216</v>
      </c>
      <c r="N23" s="54"/>
      <c r="O23" s="55" t="s">
        <v>217</v>
      </c>
      <c r="P23" s="55" t="s">
        <v>230</v>
      </c>
    </row>
    <row r="24" spans="1:16" ht="12.75" customHeight="1" thickBot="1" x14ac:dyDescent="0.25">
      <c r="A24" s="15" t="str">
        <f t="shared" si="0"/>
        <v> BBS 100 </v>
      </c>
      <c r="B24" s="5" t="str">
        <f t="shared" si="1"/>
        <v>I</v>
      </c>
      <c r="C24" s="15">
        <f t="shared" si="2"/>
        <v>48652.303</v>
      </c>
      <c r="D24" s="13" t="str">
        <f t="shared" si="3"/>
        <v>vis</v>
      </c>
      <c r="E24" s="52">
        <f>VLOOKUP(C24,Active!C$21:E$973,3,FALSE)</f>
        <v>6145.023865160606</v>
      </c>
      <c r="F24" s="5" t="s">
        <v>81</v>
      </c>
      <c r="G24" s="13" t="str">
        <f t="shared" si="4"/>
        <v>48652.303</v>
      </c>
      <c r="H24" s="15">
        <f t="shared" si="5"/>
        <v>6145</v>
      </c>
      <c r="I24" s="53" t="s">
        <v>231</v>
      </c>
      <c r="J24" s="54" t="s">
        <v>232</v>
      </c>
      <c r="K24" s="53">
        <v>6145</v>
      </c>
      <c r="L24" s="53" t="s">
        <v>233</v>
      </c>
      <c r="M24" s="54" t="s">
        <v>216</v>
      </c>
      <c r="N24" s="54"/>
      <c r="O24" s="55" t="s">
        <v>217</v>
      </c>
      <c r="P24" s="55" t="s">
        <v>234</v>
      </c>
    </row>
    <row r="25" spans="1:16" ht="12.75" customHeight="1" thickBot="1" x14ac:dyDescent="0.25">
      <c r="A25" s="15" t="str">
        <f t="shared" si="0"/>
        <v> BBS 104 </v>
      </c>
      <c r="B25" s="5" t="str">
        <f t="shared" si="1"/>
        <v>I</v>
      </c>
      <c r="C25" s="15">
        <f t="shared" si="2"/>
        <v>49104.322</v>
      </c>
      <c r="D25" s="13" t="str">
        <f t="shared" si="3"/>
        <v>vis</v>
      </c>
      <c r="E25" s="52">
        <f>VLOOKUP(C25,Active!C$21:E$973,3,FALSE)</f>
        <v>6417.0255704674028</v>
      </c>
      <c r="F25" s="5" t="s">
        <v>81</v>
      </c>
      <c r="G25" s="13" t="str">
        <f t="shared" si="4"/>
        <v>49104.322</v>
      </c>
      <c r="H25" s="15">
        <f t="shared" si="5"/>
        <v>6417</v>
      </c>
      <c r="I25" s="53" t="s">
        <v>235</v>
      </c>
      <c r="J25" s="54" t="s">
        <v>236</v>
      </c>
      <c r="K25" s="53">
        <v>6417</v>
      </c>
      <c r="L25" s="53" t="s">
        <v>237</v>
      </c>
      <c r="M25" s="54" t="s">
        <v>216</v>
      </c>
      <c r="N25" s="54"/>
      <c r="O25" s="55" t="s">
        <v>217</v>
      </c>
      <c r="P25" s="55" t="s">
        <v>238</v>
      </c>
    </row>
    <row r="26" spans="1:16" ht="12.75" customHeight="1" thickBot="1" x14ac:dyDescent="0.25">
      <c r="A26" s="15" t="str">
        <f t="shared" si="0"/>
        <v> PZ 8.293 </v>
      </c>
      <c r="B26" s="5" t="str">
        <f t="shared" si="1"/>
        <v>I</v>
      </c>
      <c r="C26" s="15">
        <f t="shared" si="2"/>
        <v>15100.37</v>
      </c>
      <c r="D26" s="13" t="str">
        <f t="shared" si="3"/>
        <v>vis</v>
      </c>
      <c r="E26" s="52">
        <f>VLOOKUP(C26,Active!C$21:E$973,3,FALSE)</f>
        <v>-14044.797784680151</v>
      </c>
      <c r="F26" s="5" t="s">
        <v>81</v>
      </c>
      <c r="G26" s="13" t="str">
        <f t="shared" si="4"/>
        <v>15100.37</v>
      </c>
      <c r="H26" s="15">
        <f t="shared" si="5"/>
        <v>-14045</v>
      </c>
      <c r="I26" s="53" t="s">
        <v>83</v>
      </c>
      <c r="J26" s="54" t="s">
        <v>84</v>
      </c>
      <c r="K26" s="53">
        <v>-14045</v>
      </c>
      <c r="L26" s="53" t="s">
        <v>85</v>
      </c>
      <c r="M26" s="54" t="s">
        <v>86</v>
      </c>
      <c r="N26" s="54"/>
      <c r="O26" s="55" t="s">
        <v>87</v>
      </c>
      <c r="P26" s="55" t="s">
        <v>88</v>
      </c>
    </row>
    <row r="27" spans="1:16" ht="12.75" customHeight="1" thickBot="1" x14ac:dyDescent="0.25">
      <c r="A27" s="15" t="str">
        <f t="shared" si="0"/>
        <v> PZ 8.293 </v>
      </c>
      <c r="B27" s="5" t="str">
        <f t="shared" si="1"/>
        <v>I</v>
      </c>
      <c r="C27" s="15">
        <f t="shared" si="2"/>
        <v>17262.32</v>
      </c>
      <c r="D27" s="13" t="str">
        <f t="shared" si="3"/>
        <v>vis</v>
      </c>
      <c r="E27" s="52">
        <f>VLOOKUP(C27,Active!C$21:E$973,3,FALSE)</f>
        <v>-12743.8478538409</v>
      </c>
      <c r="F27" s="5" t="s">
        <v>81</v>
      </c>
      <c r="G27" s="13" t="str">
        <f t="shared" si="4"/>
        <v>17262.32</v>
      </c>
      <c r="H27" s="15">
        <f t="shared" si="5"/>
        <v>-12744</v>
      </c>
      <c r="I27" s="53" t="s">
        <v>89</v>
      </c>
      <c r="J27" s="54" t="s">
        <v>90</v>
      </c>
      <c r="K27" s="53">
        <v>-12744</v>
      </c>
      <c r="L27" s="53" t="s">
        <v>91</v>
      </c>
      <c r="M27" s="54" t="s">
        <v>86</v>
      </c>
      <c r="N27" s="54"/>
      <c r="O27" s="55" t="s">
        <v>87</v>
      </c>
      <c r="P27" s="55" t="s">
        <v>88</v>
      </c>
    </row>
    <row r="28" spans="1:16" ht="12.75" customHeight="1" thickBot="1" x14ac:dyDescent="0.25">
      <c r="A28" s="15" t="str">
        <f t="shared" si="0"/>
        <v> PZ 8.293 </v>
      </c>
      <c r="B28" s="5" t="str">
        <f t="shared" si="1"/>
        <v>I</v>
      </c>
      <c r="C28" s="15">
        <f t="shared" si="2"/>
        <v>19369.48</v>
      </c>
      <c r="D28" s="13" t="str">
        <f t="shared" si="3"/>
        <v>vis</v>
      </c>
      <c r="E28" s="52">
        <f>VLOOKUP(C28,Active!C$21:E$973,3,FALSE)</f>
        <v>-11475.867717266401</v>
      </c>
      <c r="F28" s="5" t="s">
        <v>81</v>
      </c>
      <c r="G28" s="13" t="str">
        <f t="shared" si="4"/>
        <v>19369.48</v>
      </c>
      <c r="H28" s="15">
        <f t="shared" si="5"/>
        <v>-11476</v>
      </c>
      <c r="I28" s="53" t="s">
        <v>92</v>
      </c>
      <c r="J28" s="54" t="s">
        <v>93</v>
      </c>
      <c r="K28" s="53">
        <v>-11476</v>
      </c>
      <c r="L28" s="53" t="s">
        <v>94</v>
      </c>
      <c r="M28" s="54" t="s">
        <v>86</v>
      </c>
      <c r="N28" s="54"/>
      <c r="O28" s="55" t="s">
        <v>87</v>
      </c>
      <c r="P28" s="55" t="s">
        <v>88</v>
      </c>
    </row>
    <row r="29" spans="1:16" ht="12.75" customHeight="1" thickBot="1" x14ac:dyDescent="0.25">
      <c r="A29" s="15" t="str">
        <f t="shared" si="0"/>
        <v> PZ 8.293 </v>
      </c>
      <c r="B29" s="5" t="str">
        <f t="shared" si="1"/>
        <v>I</v>
      </c>
      <c r="C29" s="15">
        <f t="shared" si="2"/>
        <v>20539.349999999999</v>
      </c>
      <c r="D29" s="13" t="str">
        <f t="shared" si="3"/>
        <v>vis</v>
      </c>
      <c r="E29" s="52">
        <f>VLOOKUP(C29,Active!C$21:E$973,3,FALSE)</f>
        <v>-10771.900328755604</v>
      </c>
      <c r="F29" s="5" t="s">
        <v>81</v>
      </c>
      <c r="G29" s="13" t="str">
        <f t="shared" si="4"/>
        <v>20539.35</v>
      </c>
      <c r="H29" s="15">
        <f t="shared" si="5"/>
        <v>-10772</v>
      </c>
      <c r="I29" s="53" t="s">
        <v>95</v>
      </c>
      <c r="J29" s="54" t="s">
        <v>96</v>
      </c>
      <c r="K29" s="53">
        <v>-10772</v>
      </c>
      <c r="L29" s="53" t="s">
        <v>97</v>
      </c>
      <c r="M29" s="54" t="s">
        <v>86</v>
      </c>
      <c r="N29" s="54"/>
      <c r="O29" s="55" t="s">
        <v>87</v>
      </c>
      <c r="P29" s="55" t="s">
        <v>88</v>
      </c>
    </row>
    <row r="30" spans="1:16" ht="12.75" customHeight="1" thickBot="1" x14ac:dyDescent="0.25">
      <c r="A30" s="15" t="str">
        <f t="shared" si="0"/>
        <v> KVBB 6.40 </v>
      </c>
      <c r="B30" s="5" t="str">
        <f t="shared" si="1"/>
        <v>I</v>
      </c>
      <c r="C30" s="15">
        <f t="shared" si="2"/>
        <v>24946.48</v>
      </c>
      <c r="D30" s="13" t="str">
        <f t="shared" si="3"/>
        <v>vis</v>
      </c>
      <c r="E30" s="52">
        <f>VLOOKUP(C30,Active!C$21:E$973,3,FALSE)</f>
        <v>-8119.9169486128658</v>
      </c>
      <c r="F30" s="5" t="s">
        <v>81</v>
      </c>
      <c r="G30" s="13" t="str">
        <f t="shared" si="4"/>
        <v>24946.48</v>
      </c>
      <c r="H30" s="15">
        <f t="shared" si="5"/>
        <v>-8120</v>
      </c>
      <c r="I30" s="53" t="s">
        <v>98</v>
      </c>
      <c r="J30" s="54" t="s">
        <v>99</v>
      </c>
      <c r="K30" s="53">
        <v>-8120</v>
      </c>
      <c r="L30" s="53" t="s">
        <v>100</v>
      </c>
      <c r="M30" s="54" t="s">
        <v>86</v>
      </c>
      <c r="N30" s="54"/>
      <c r="O30" s="55" t="s">
        <v>101</v>
      </c>
      <c r="P30" s="55" t="s">
        <v>102</v>
      </c>
    </row>
    <row r="31" spans="1:16" ht="12.75" customHeight="1" thickBot="1" x14ac:dyDescent="0.25">
      <c r="A31" s="15" t="str">
        <f t="shared" si="0"/>
        <v> KVBB 6.41 </v>
      </c>
      <c r="B31" s="5" t="str">
        <f t="shared" si="1"/>
        <v>I</v>
      </c>
      <c r="C31" s="15">
        <f t="shared" si="2"/>
        <v>25275.55</v>
      </c>
      <c r="D31" s="13" t="str">
        <f t="shared" si="3"/>
        <v>vis</v>
      </c>
      <c r="E31" s="52">
        <f>VLOOKUP(C31,Active!C$21:E$973,3,FALSE)</f>
        <v>-7921.8996060557893</v>
      </c>
      <c r="F31" s="5" t="s">
        <v>81</v>
      </c>
      <c r="G31" s="13" t="str">
        <f t="shared" si="4"/>
        <v>25275.55</v>
      </c>
      <c r="H31" s="15">
        <f t="shared" si="5"/>
        <v>-7922</v>
      </c>
      <c r="I31" s="53" t="s">
        <v>103</v>
      </c>
      <c r="J31" s="54" t="s">
        <v>104</v>
      </c>
      <c r="K31" s="53">
        <v>-7922</v>
      </c>
      <c r="L31" s="53" t="s">
        <v>97</v>
      </c>
      <c r="M31" s="54" t="s">
        <v>86</v>
      </c>
      <c r="N31" s="54"/>
      <c r="O31" s="55" t="s">
        <v>101</v>
      </c>
      <c r="P31" s="55" t="s">
        <v>105</v>
      </c>
    </row>
    <row r="32" spans="1:16" ht="12.75" customHeight="1" thickBot="1" x14ac:dyDescent="0.25">
      <c r="A32" s="15" t="str">
        <f t="shared" si="0"/>
        <v> KVBB 6.51 </v>
      </c>
      <c r="B32" s="5" t="str">
        <f t="shared" si="1"/>
        <v>I</v>
      </c>
      <c r="C32" s="15">
        <f t="shared" si="2"/>
        <v>25325.32</v>
      </c>
      <c r="D32" s="13" t="str">
        <f t="shared" si="3"/>
        <v>vis</v>
      </c>
      <c r="E32" s="52">
        <f>VLOOKUP(C32,Active!C$21:E$973,3,FALSE)</f>
        <v>-7891.9505887066962</v>
      </c>
      <c r="F32" s="5" t="s">
        <v>81</v>
      </c>
      <c r="G32" s="13" t="str">
        <f t="shared" si="4"/>
        <v>25325.32</v>
      </c>
      <c r="H32" s="15">
        <f t="shared" si="5"/>
        <v>-7892</v>
      </c>
      <c r="I32" s="53" t="s">
        <v>106</v>
      </c>
      <c r="J32" s="54" t="s">
        <v>107</v>
      </c>
      <c r="K32" s="53">
        <v>-7892</v>
      </c>
      <c r="L32" s="53" t="s">
        <v>108</v>
      </c>
      <c r="M32" s="54" t="s">
        <v>86</v>
      </c>
      <c r="N32" s="54"/>
      <c r="O32" s="55" t="s">
        <v>101</v>
      </c>
      <c r="P32" s="55" t="s">
        <v>109</v>
      </c>
    </row>
    <row r="33" spans="1:16" ht="12.75" customHeight="1" thickBot="1" x14ac:dyDescent="0.25">
      <c r="A33" s="15" t="str">
        <f t="shared" si="0"/>
        <v> KVBB 6.51 </v>
      </c>
      <c r="B33" s="5" t="str">
        <f t="shared" si="1"/>
        <v>I</v>
      </c>
      <c r="C33" s="15">
        <f t="shared" si="2"/>
        <v>25335.33</v>
      </c>
      <c r="D33" s="13" t="str">
        <f t="shared" si="3"/>
        <v>vis</v>
      </c>
      <c r="E33" s="52">
        <f>VLOOKUP(C33,Active!C$21:E$973,3,FALSE)</f>
        <v>-7885.9270873270607</v>
      </c>
      <c r="F33" s="5" t="s">
        <v>81</v>
      </c>
      <c r="G33" s="13" t="str">
        <f t="shared" si="4"/>
        <v>25335.33</v>
      </c>
      <c r="H33" s="15">
        <f t="shared" si="5"/>
        <v>-7886</v>
      </c>
      <c r="I33" s="53" t="s">
        <v>110</v>
      </c>
      <c r="J33" s="54" t="s">
        <v>111</v>
      </c>
      <c r="K33" s="53">
        <v>-7886</v>
      </c>
      <c r="L33" s="53" t="s">
        <v>112</v>
      </c>
      <c r="M33" s="54" t="s">
        <v>86</v>
      </c>
      <c r="N33" s="54"/>
      <c r="O33" s="55" t="s">
        <v>101</v>
      </c>
      <c r="P33" s="55" t="s">
        <v>109</v>
      </c>
    </row>
    <row r="34" spans="1:16" ht="12.75" customHeight="1" thickBot="1" x14ac:dyDescent="0.25">
      <c r="A34" s="15" t="str">
        <f t="shared" si="0"/>
        <v> KVBB 6.41 </v>
      </c>
      <c r="B34" s="5" t="str">
        <f t="shared" si="1"/>
        <v>I</v>
      </c>
      <c r="C34" s="15">
        <f t="shared" si="2"/>
        <v>25561.43</v>
      </c>
      <c r="D34" s="13" t="str">
        <f t="shared" si="3"/>
        <v>vis</v>
      </c>
      <c r="E34" s="52">
        <f>VLOOKUP(C34,Active!C$21:E$973,3,FALSE)</f>
        <v>-7749.8717764444073</v>
      </c>
      <c r="F34" s="5" t="s">
        <v>81</v>
      </c>
      <c r="G34" s="13" t="str">
        <f t="shared" si="4"/>
        <v>25561.43</v>
      </c>
      <c r="H34" s="15">
        <f t="shared" si="5"/>
        <v>-7750</v>
      </c>
      <c r="I34" s="53" t="s">
        <v>113</v>
      </c>
      <c r="J34" s="54" t="s">
        <v>114</v>
      </c>
      <c r="K34" s="53">
        <v>-7750</v>
      </c>
      <c r="L34" s="53" t="s">
        <v>115</v>
      </c>
      <c r="M34" s="54" t="s">
        <v>86</v>
      </c>
      <c r="N34" s="54"/>
      <c r="O34" s="55" t="s">
        <v>101</v>
      </c>
      <c r="P34" s="55" t="s">
        <v>105</v>
      </c>
    </row>
    <row r="35" spans="1:16" ht="12.75" customHeight="1" thickBot="1" x14ac:dyDescent="0.25">
      <c r="A35" s="15" t="str">
        <f t="shared" si="0"/>
        <v> KVBB 6.41 </v>
      </c>
      <c r="B35" s="5" t="str">
        <f t="shared" si="1"/>
        <v>I</v>
      </c>
      <c r="C35" s="15">
        <f t="shared" si="2"/>
        <v>25644.36</v>
      </c>
      <c r="D35" s="13" t="str">
        <f t="shared" si="3"/>
        <v>vis</v>
      </c>
      <c r="E35" s="52">
        <f>VLOOKUP(C35,Active!C$21:E$973,3,FALSE)</f>
        <v>-7699.9687824970451</v>
      </c>
      <c r="F35" s="5" t="s">
        <v>81</v>
      </c>
      <c r="G35" s="13" t="str">
        <f t="shared" si="4"/>
        <v>25644.36</v>
      </c>
      <c r="H35" s="15">
        <f t="shared" si="5"/>
        <v>-7700</v>
      </c>
      <c r="I35" s="53" t="s">
        <v>116</v>
      </c>
      <c r="J35" s="54" t="s">
        <v>117</v>
      </c>
      <c r="K35" s="53">
        <v>-7700</v>
      </c>
      <c r="L35" s="53" t="s">
        <v>118</v>
      </c>
      <c r="M35" s="54" t="s">
        <v>86</v>
      </c>
      <c r="N35" s="54"/>
      <c r="O35" s="55" t="s">
        <v>101</v>
      </c>
      <c r="P35" s="55" t="s">
        <v>105</v>
      </c>
    </row>
    <row r="36" spans="1:16" ht="12.75" customHeight="1" thickBot="1" x14ac:dyDescent="0.25">
      <c r="A36" s="15" t="str">
        <f t="shared" si="0"/>
        <v> PZ 8.291 </v>
      </c>
      <c r="B36" s="5" t="str">
        <f t="shared" si="1"/>
        <v>I</v>
      </c>
      <c r="C36" s="15">
        <f t="shared" si="2"/>
        <v>33305.300000000003</v>
      </c>
      <c r="D36" s="13" t="str">
        <f t="shared" si="3"/>
        <v>vis</v>
      </c>
      <c r="E36" s="52">
        <f>VLOOKUP(C36,Active!C$21:E$973,3,FALSE)</f>
        <v>-3090.0104748749145</v>
      </c>
      <c r="F36" s="5" t="s">
        <v>81</v>
      </c>
      <c r="G36" s="13" t="str">
        <f t="shared" si="4"/>
        <v>33305.30</v>
      </c>
      <c r="H36" s="15">
        <f t="shared" si="5"/>
        <v>-3090</v>
      </c>
      <c r="I36" s="53" t="s">
        <v>119</v>
      </c>
      <c r="J36" s="54" t="s">
        <v>120</v>
      </c>
      <c r="K36" s="53">
        <v>-3090</v>
      </c>
      <c r="L36" s="53" t="s">
        <v>121</v>
      </c>
      <c r="M36" s="54" t="s">
        <v>86</v>
      </c>
      <c r="N36" s="54"/>
      <c r="O36" s="55" t="s">
        <v>122</v>
      </c>
      <c r="P36" s="55" t="s">
        <v>123</v>
      </c>
    </row>
    <row r="37" spans="1:16" ht="12.75" customHeight="1" thickBot="1" x14ac:dyDescent="0.25">
      <c r="A37" s="15" t="str">
        <f t="shared" si="0"/>
        <v> PZ 8.291 </v>
      </c>
      <c r="B37" s="5" t="str">
        <f t="shared" si="1"/>
        <v>I</v>
      </c>
      <c r="C37" s="15">
        <f t="shared" si="2"/>
        <v>33330.26</v>
      </c>
      <c r="D37" s="13" t="str">
        <f t="shared" si="3"/>
        <v>vis</v>
      </c>
      <c r="E37" s="52">
        <f>VLOOKUP(C37,Active!C$21:E$973,3,FALSE)</f>
        <v>-3074.9908350711512</v>
      </c>
      <c r="F37" s="5" t="s">
        <v>81</v>
      </c>
      <c r="G37" s="13" t="str">
        <f t="shared" si="4"/>
        <v>33330.26</v>
      </c>
      <c r="H37" s="15">
        <f t="shared" si="5"/>
        <v>-3075</v>
      </c>
      <c r="I37" s="53" t="s">
        <v>124</v>
      </c>
      <c r="J37" s="54" t="s">
        <v>125</v>
      </c>
      <c r="K37" s="53">
        <v>-3075</v>
      </c>
      <c r="L37" s="53" t="s">
        <v>126</v>
      </c>
      <c r="M37" s="54" t="s">
        <v>86</v>
      </c>
      <c r="N37" s="54"/>
      <c r="O37" s="55" t="s">
        <v>122</v>
      </c>
      <c r="P37" s="55" t="s">
        <v>123</v>
      </c>
    </row>
    <row r="38" spans="1:16" ht="12.75" customHeight="1" thickBot="1" x14ac:dyDescent="0.25">
      <c r="A38" s="15" t="str">
        <f t="shared" si="0"/>
        <v> PZ 8.291 </v>
      </c>
      <c r="B38" s="5" t="str">
        <f t="shared" si="1"/>
        <v>I</v>
      </c>
      <c r="C38" s="15">
        <f t="shared" si="2"/>
        <v>33358.379999999997</v>
      </c>
      <c r="D38" s="13" t="str">
        <f t="shared" si="3"/>
        <v>vis</v>
      </c>
      <c r="E38" s="52">
        <f>VLOOKUP(C38,Active!C$21:E$973,3,FALSE)</f>
        <v>-3058.0696703563362</v>
      </c>
      <c r="F38" s="5" t="s">
        <v>81</v>
      </c>
      <c r="G38" s="13" t="str">
        <f t="shared" si="4"/>
        <v>33358.38</v>
      </c>
      <c r="H38" s="15">
        <f t="shared" si="5"/>
        <v>-3058</v>
      </c>
      <c r="I38" s="53" t="s">
        <v>127</v>
      </c>
      <c r="J38" s="54" t="s">
        <v>128</v>
      </c>
      <c r="K38" s="53">
        <v>-3058</v>
      </c>
      <c r="L38" s="53" t="s">
        <v>129</v>
      </c>
      <c r="M38" s="54" t="s">
        <v>86</v>
      </c>
      <c r="N38" s="54"/>
      <c r="O38" s="55" t="s">
        <v>122</v>
      </c>
      <c r="P38" s="55" t="s">
        <v>123</v>
      </c>
    </row>
    <row r="39" spans="1:16" ht="12.75" customHeight="1" thickBot="1" x14ac:dyDescent="0.25">
      <c r="A39" s="15" t="str">
        <f t="shared" si="0"/>
        <v> PZ 8.291 </v>
      </c>
      <c r="B39" s="5" t="str">
        <f t="shared" si="1"/>
        <v>I</v>
      </c>
      <c r="C39" s="15">
        <f t="shared" si="2"/>
        <v>33360.26</v>
      </c>
      <c r="D39" s="13" t="str">
        <f t="shared" si="3"/>
        <v>vis</v>
      </c>
      <c r="E39" s="52">
        <f>VLOOKUP(C39,Active!C$21:E$973,3,FALSE)</f>
        <v>-3056.9383833839347</v>
      </c>
      <c r="F39" s="5" t="s">
        <v>81</v>
      </c>
      <c r="G39" s="13" t="str">
        <f t="shared" si="4"/>
        <v>33360.26</v>
      </c>
      <c r="H39" s="15">
        <f t="shared" si="5"/>
        <v>-3057</v>
      </c>
      <c r="I39" s="53" t="s">
        <v>130</v>
      </c>
      <c r="J39" s="54" t="s">
        <v>131</v>
      </c>
      <c r="K39" s="53">
        <v>-3057</v>
      </c>
      <c r="L39" s="53" t="s">
        <v>132</v>
      </c>
      <c r="M39" s="54" t="s">
        <v>86</v>
      </c>
      <c r="N39" s="54"/>
      <c r="O39" s="55" t="s">
        <v>122</v>
      </c>
      <c r="P39" s="55" t="s">
        <v>123</v>
      </c>
    </row>
    <row r="40" spans="1:16" ht="12.75" customHeight="1" thickBot="1" x14ac:dyDescent="0.25">
      <c r="A40" s="15" t="str">
        <f t="shared" si="0"/>
        <v> PZ 8.291 </v>
      </c>
      <c r="B40" s="5" t="str">
        <f t="shared" si="1"/>
        <v>I</v>
      </c>
      <c r="C40" s="15">
        <f t="shared" si="2"/>
        <v>33649.32</v>
      </c>
      <c r="D40" s="13" t="str">
        <f t="shared" si="3"/>
        <v>vis</v>
      </c>
      <c r="E40" s="52">
        <f>VLOOKUP(C40,Active!C$21:E$973,3,FALSE)</f>
        <v>-2882.9969938937097</v>
      </c>
      <c r="F40" s="5" t="s">
        <v>81</v>
      </c>
      <c r="G40" s="13" t="str">
        <f t="shared" si="4"/>
        <v>33649.32</v>
      </c>
      <c r="H40" s="15">
        <f t="shared" si="5"/>
        <v>-2883</v>
      </c>
      <c r="I40" s="53" t="s">
        <v>133</v>
      </c>
      <c r="J40" s="54" t="s">
        <v>134</v>
      </c>
      <c r="K40" s="53">
        <v>-2883</v>
      </c>
      <c r="L40" s="53" t="s">
        <v>135</v>
      </c>
      <c r="M40" s="54" t="s">
        <v>86</v>
      </c>
      <c r="N40" s="54"/>
      <c r="O40" s="55" t="s">
        <v>122</v>
      </c>
      <c r="P40" s="55" t="s">
        <v>123</v>
      </c>
    </row>
    <row r="41" spans="1:16" ht="12.75" customHeight="1" thickBot="1" x14ac:dyDescent="0.25">
      <c r="A41" s="15" t="str">
        <f t="shared" si="0"/>
        <v> PZ 8.291 </v>
      </c>
      <c r="B41" s="5" t="str">
        <f t="shared" si="1"/>
        <v>I</v>
      </c>
      <c r="C41" s="15">
        <f t="shared" si="2"/>
        <v>33689.24</v>
      </c>
      <c r="D41" s="13" t="str">
        <f t="shared" si="3"/>
        <v>vis</v>
      </c>
      <c r="E41" s="52">
        <f>VLOOKUP(C41,Active!C$21:E$973,3,FALSE)</f>
        <v>-2858.9751981819218</v>
      </c>
      <c r="F41" s="5" t="s">
        <v>81</v>
      </c>
      <c r="G41" s="13" t="str">
        <f t="shared" si="4"/>
        <v>33689.24</v>
      </c>
      <c r="H41" s="15">
        <f t="shared" si="5"/>
        <v>-2859</v>
      </c>
      <c r="I41" s="53" t="s">
        <v>136</v>
      </c>
      <c r="J41" s="54" t="s">
        <v>137</v>
      </c>
      <c r="K41" s="53">
        <v>-2859</v>
      </c>
      <c r="L41" s="53" t="s">
        <v>138</v>
      </c>
      <c r="M41" s="54" t="s">
        <v>86</v>
      </c>
      <c r="N41" s="54"/>
      <c r="O41" s="55" t="s">
        <v>122</v>
      </c>
      <c r="P41" s="55" t="s">
        <v>123</v>
      </c>
    </row>
    <row r="42" spans="1:16" ht="12.75" customHeight="1" thickBot="1" x14ac:dyDescent="0.25">
      <c r="A42" s="15" t="str">
        <f t="shared" si="0"/>
        <v> PZ 8.291 </v>
      </c>
      <c r="B42" s="5" t="str">
        <f t="shared" si="1"/>
        <v>I</v>
      </c>
      <c r="C42" s="15">
        <f t="shared" si="2"/>
        <v>33747.31</v>
      </c>
      <c r="D42" s="13" t="str">
        <f t="shared" si="3"/>
        <v>vis</v>
      </c>
      <c r="E42" s="52">
        <f>VLOOKUP(C42,Active!C$21:E$973,3,FALSE)</f>
        <v>-2824.0316691993667</v>
      </c>
      <c r="F42" s="5" t="s">
        <v>81</v>
      </c>
      <c r="G42" s="13" t="str">
        <f t="shared" si="4"/>
        <v>33747.31</v>
      </c>
      <c r="H42" s="15">
        <f t="shared" si="5"/>
        <v>-2824</v>
      </c>
      <c r="I42" s="53" t="s">
        <v>139</v>
      </c>
      <c r="J42" s="54" t="s">
        <v>140</v>
      </c>
      <c r="K42" s="53">
        <v>-2824</v>
      </c>
      <c r="L42" s="53" t="s">
        <v>141</v>
      </c>
      <c r="M42" s="54" t="s">
        <v>86</v>
      </c>
      <c r="N42" s="54"/>
      <c r="O42" s="55" t="s">
        <v>122</v>
      </c>
      <c r="P42" s="55" t="s">
        <v>123</v>
      </c>
    </row>
    <row r="43" spans="1:16" ht="12.75" customHeight="1" thickBot="1" x14ac:dyDescent="0.25">
      <c r="A43" s="15" t="str">
        <f t="shared" ref="A43:A71" si="6">P43</f>
        <v> CLVO 46.35 </v>
      </c>
      <c r="B43" s="5" t="str">
        <f t="shared" ref="B43:B71" si="7">IF(H43=INT(H43),"I","II")</f>
        <v>I</v>
      </c>
      <c r="C43" s="15">
        <f t="shared" ref="C43:C71" si="8">1*G43</f>
        <v>34450.33</v>
      </c>
      <c r="D43" s="13" t="str">
        <f t="shared" ref="D43:D71" si="9">VLOOKUP(F43,I$1:J$5,2,FALSE)</f>
        <v>vis</v>
      </c>
      <c r="E43" s="52">
        <f>VLOOKUP(C43,Active!C$21:E$973,3,FALSE)</f>
        <v>-2400.9905163611343</v>
      </c>
      <c r="F43" s="5" t="s">
        <v>81</v>
      </c>
      <c r="G43" s="13" t="str">
        <f t="shared" ref="G43:G71" si="10">MID(I43,3,LEN(I43)-3)</f>
        <v>34450.330</v>
      </c>
      <c r="H43" s="15">
        <f t="shared" ref="H43:H71" si="11">1*K43</f>
        <v>-2401</v>
      </c>
      <c r="I43" s="53" t="s">
        <v>142</v>
      </c>
      <c r="J43" s="54" t="s">
        <v>143</v>
      </c>
      <c r="K43" s="53">
        <v>-2401</v>
      </c>
      <c r="L43" s="53" t="s">
        <v>144</v>
      </c>
      <c r="M43" s="54" t="s">
        <v>86</v>
      </c>
      <c r="N43" s="54"/>
      <c r="O43" s="55" t="s">
        <v>145</v>
      </c>
      <c r="P43" s="55" t="s">
        <v>146</v>
      </c>
    </row>
    <row r="44" spans="1:16" ht="12.75" customHeight="1" thickBot="1" x14ac:dyDescent="0.25">
      <c r="A44" s="15" t="str">
        <f t="shared" si="6"/>
        <v> CLVO 46.35 </v>
      </c>
      <c r="B44" s="5" t="str">
        <f t="shared" si="7"/>
        <v>I</v>
      </c>
      <c r="C44" s="15">
        <f t="shared" si="8"/>
        <v>35487.285000000003</v>
      </c>
      <c r="D44" s="13" t="str">
        <f t="shared" si="9"/>
        <v>vis</v>
      </c>
      <c r="E44" s="52">
        <f>VLOOKUP(C44,Active!C$21:E$973,3,FALSE)</f>
        <v>-1777.0045150505491</v>
      </c>
      <c r="F44" s="5" t="s">
        <v>81</v>
      </c>
      <c r="G44" s="13" t="str">
        <f t="shared" si="10"/>
        <v>35487.285</v>
      </c>
      <c r="H44" s="15">
        <f t="shared" si="11"/>
        <v>-1777</v>
      </c>
      <c r="I44" s="53" t="s">
        <v>147</v>
      </c>
      <c r="J44" s="54" t="s">
        <v>148</v>
      </c>
      <c r="K44" s="53">
        <v>-1777</v>
      </c>
      <c r="L44" s="53" t="s">
        <v>149</v>
      </c>
      <c r="M44" s="54" t="s">
        <v>86</v>
      </c>
      <c r="N44" s="54"/>
      <c r="O44" s="55" t="s">
        <v>145</v>
      </c>
      <c r="P44" s="55" t="s">
        <v>146</v>
      </c>
    </row>
    <row r="45" spans="1:16" ht="12.75" customHeight="1" thickBot="1" x14ac:dyDescent="0.25">
      <c r="A45" s="15" t="str">
        <f t="shared" si="6"/>
        <v> CLVO 46.35 </v>
      </c>
      <c r="B45" s="5" t="str">
        <f t="shared" si="7"/>
        <v>I</v>
      </c>
      <c r="C45" s="15">
        <f t="shared" si="8"/>
        <v>35492.211000000003</v>
      </c>
      <c r="D45" s="13" t="str">
        <f t="shared" si="9"/>
        <v>vis</v>
      </c>
      <c r="E45" s="52">
        <f>VLOOKUP(C45,Active!C$21:E$973,3,FALSE)</f>
        <v>-1774.0403024835084</v>
      </c>
      <c r="F45" s="5" t="s">
        <v>81</v>
      </c>
      <c r="G45" s="13" t="str">
        <f t="shared" si="10"/>
        <v>35492.211</v>
      </c>
      <c r="H45" s="15">
        <f t="shared" si="11"/>
        <v>-1774</v>
      </c>
      <c r="I45" s="53" t="s">
        <v>150</v>
      </c>
      <c r="J45" s="54" t="s">
        <v>151</v>
      </c>
      <c r="K45" s="53">
        <v>-1774</v>
      </c>
      <c r="L45" s="53" t="s">
        <v>152</v>
      </c>
      <c r="M45" s="54" t="s">
        <v>86</v>
      </c>
      <c r="N45" s="54"/>
      <c r="O45" s="55" t="s">
        <v>145</v>
      </c>
      <c r="P45" s="55" t="s">
        <v>146</v>
      </c>
    </row>
    <row r="46" spans="1:16" ht="12.75" customHeight="1" thickBot="1" x14ac:dyDescent="0.25">
      <c r="A46" s="15" t="str">
        <f t="shared" si="6"/>
        <v> CLVO 46.35 </v>
      </c>
      <c r="B46" s="5" t="str">
        <f t="shared" si="7"/>
        <v>I</v>
      </c>
      <c r="C46" s="15">
        <f t="shared" si="8"/>
        <v>35924.271000000001</v>
      </c>
      <c r="D46" s="13" t="str">
        <f t="shared" si="9"/>
        <v>vis</v>
      </c>
      <c r="E46" s="52">
        <f>VLOOKUP(C46,Active!C$21:E$973,3,FALSE)</f>
        <v>-1514.0488932842188</v>
      </c>
      <c r="F46" s="5" t="s">
        <v>81</v>
      </c>
      <c r="G46" s="13" t="str">
        <f t="shared" si="10"/>
        <v>35924.271</v>
      </c>
      <c r="H46" s="15">
        <f t="shared" si="11"/>
        <v>-1514</v>
      </c>
      <c r="I46" s="53" t="s">
        <v>153</v>
      </c>
      <c r="J46" s="54" t="s">
        <v>154</v>
      </c>
      <c r="K46" s="53">
        <v>-1514</v>
      </c>
      <c r="L46" s="53" t="s">
        <v>155</v>
      </c>
      <c r="M46" s="54" t="s">
        <v>86</v>
      </c>
      <c r="N46" s="54"/>
      <c r="O46" s="55" t="s">
        <v>145</v>
      </c>
      <c r="P46" s="55" t="s">
        <v>146</v>
      </c>
    </row>
    <row r="47" spans="1:16" ht="12.75" customHeight="1" thickBot="1" x14ac:dyDescent="0.25">
      <c r="A47" s="15" t="str">
        <f t="shared" si="6"/>
        <v> CLVO 46.35 </v>
      </c>
      <c r="B47" s="5" t="str">
        <f t="shared" si="7"/>
        <v>I</v>
      </c>
      <c r="C47" s="15">
        <f t="shared" si="8"/>
        <v>36138.644999999997</v>
      </c>
      <c r="D47" s="13" t="str">
        <f t="shared" si="9"/>
        <v>vis</v>
      </c>
      <c r="E47" s="52">
        <f>VLOOKUP(C47,Active!C$21:E$973,3,FALSE)</f>
        <v>-1385.04968401771</v>
      </c>
      <c r="F47" s="5" t="s">
        <v>81</v>
      </c>
      <c r="G47" s="13" t="str">
        <f t="shared" si="10"/>
        <v>36138.645</v>
      </c>
      <c r="H47" s="15">
        <f t="shared" si="11"/>
        <v>-1385</v>
      </c>
      <c r="I47" s="53" t="s">
        <v>156</v>
      </c>
      <c r="J47" s="54" t="s">
        <v>157</v>
      </c>
      <c r="K47" s="53">
        <v>-1385</v>
      </c>
      <c r="L47" s="53" t="s">
        <v>158</v>
      </c>
      <c r="M47" s="54" t="s">
        <v>86</v>
      </c>
      <c r="N47" s="54"/>
      <c r="O47" s="55" t="s">
        <v>145</v>
      </c>
      <c r="P47" s="55" t="s">
        <v>146</v>
      </c>
    </row>
    <row r="48" spans="1:16" ht="12.75" customHeight="1" thickBot="1" x14ac:dyDescent="0.25">
      <c r="A48" s="15" t="str">
        <f t="shared" si="6"/>
        <v> CLVO 46.35 </v>
      </c>
      <c r="B48" s="5" t="str">
        <f t="shared" si="7"/>
        <v>I</v>
      </c>
      <c r="C48" s="15">
        <f t="shared" si="8"/>
        <v>36165.307000000001</v>
      </c>
      <c r="D48" s="13" t="str">
        <f t="shared" si="9"/>
        <v>vis</v>
      </c>
      <c r="E48" s="52">
        <f>VLOOKUP(C48,Active!C$21:E$973,3,FALSE)</f>
        <v>-1369.0058684548887</v>
      </c>
      <c r="F48" s="5" t="s">
        <v>81</v>
      </c>
      <c r="G48" s="13" t="str">
        <f t="shared" si="10"/>
        <v>36165.307</v>
      </c>
      <c r="H48" s="15">
        <f t="shared" si="11"/>
        <v>-1369</v>
      </c>
      <c r="I48" s="53" t="s">
        <v>159</v>
      </c>
      <c r="J48" s="54" t="s">
        <v>160</v>
      </c>
      <c r="K48" s="53">
        <v>-1369</v>
      </c>
      <c r="L48" s="53" t="s">
        <v>161</v>
      </c>
      <c r="M48" s="54" t="s">
        <v>86</v>
      </c>
      <c r="N48" s="54"/>
      <c r="O48" s="55" t="s">
        <v>145</v>
      </c>
      <c r="P48" s="55" t="s">
        <v>146</v>
      </c>
    </row>
    <row r="49" spans="1:16" ht="12.75" customHeight="1" thickBot="1" x14ac:dyDescent="0.25">
      <c r="A49" s="15" t="str">
        <f t="shared" si="6"/>
        <v> MHAR 14.15 </v>
      </c>
      <c r="B49" s="5" t="str">
        <f t="shared" si="7"/>
        <v>I</v>
      </c>
      <c r="C49" s="15">
        <f t="shared" si="8"/>
        <v>36966.326999999997</v>
      </c>
      <c r="D49" s="13" t="str">
        <f t="shared" si="9"/>
        <v>vis</v>
      </c>
      <c r="E49" s="52">
        <f>VLOOKUP(C49,Active!C$21:E$973,3,FALSE)</f>
        <v>-886.99337343842046</v>
      </c>
      <c r="F49" s="5" t="s">
        <v>81</v>
      </c>
      <c r="G49" s="13" t="str">
        <f t="shared" si="10"/>
        <v>36966.327</v>
      </c>
      <c r="H49" s="15">
        <f t="shared" si="11"/>
        <v>-887</v>
      </c>
      <c r="I49" s="53" t="s">
        <v>162</v>
      </c>
      <c r="J49" s="54" t="s">
        <v>163</v>
      </c>
      <c r="K49" s="53">
        <v>-887</v>
      </c>
      <c r="L49" s="53" t="s">
        <v>164</v>
      </c>
      <c r="M49" s="54" t="s">
        <v>86</v>
      </c>
      <c r="N49" s="54"/>
      <c r="O49" s="55" t="s">
        <v>165</v>
      </c>
      <c r="P49" s="55" t="s">
        <v>166</v>
      </c>
    </row>
    <row r="50" spans="1:16" ht="12.75" customHeight="1" thickBot="1" x14ac:dyDescent="0.25">
      <c r="A50" s="15" t="str">
        <f t="shared" si="6"/>
        <v> MHAR 14.15 </v>
      </c>
      <c r="B50" s="5" t="str">
        <f t="shared" si="7"/>
        <v>II</v>
      </c>
      <c r="C50" s="15">
        <f t="shared" si="8"/>
        <v>37319.445</v>
      </c>
      <c r="D50" s="13" t="str">
        <f t="shared" si="9"/>
        <v>vis</v>
      </c>
      <c r="E50" s="52">
        <f>VLOOKUP(C50,Active!C$21:E$973,3,FALSE)</f>
        <v>-674.50518560886928</v>
      </c>
      <c r="F50" s="5" t="s">
        <v>81</v>
      </c>
      <c r="G50" s="13" t="str">
        <f t="shared" si="10"/>
        <v>37319.445</v>
      </c>
      <c r="H50" s="15">
        <f t="shared" si="11"/>
        <v>-674.5</v>
      </c>
      <c r="I50" s="53" t="s">
        <v>167</v>
      </c>
      <c r="J50" s="54" t="s">
        <v>168</v>
      </c>
      <c r="K50" s="53">
        <v>-674.5</v>
      </c>
      <c r="L50" s="53" t="s">
        <v>169</v>
      </c>
      <c r="M50" s="54" t="s">
        <v>86</v>
      </c>
      <c r="N50" s="54"/>
      <c r="O50" s="55" t="s">
        <v>165</v>
      </c>
      <c r="P50" s="55" t="s">
        <v>166</v>
      </c>
    </row>
    <row r="51" spans="1:16" ht="12.75" customHeight="1" thickBot="1" x14ac:dyDescent="0.25">
      <c r="A51" s="15" t="str">
        <f t="shared" si="6"/>
        <v> MHAR 14.15 </v>
      </c>
      <c r="B51" s="5" t="str">
        <f t="shared" si="7"/>
        <v>II</v>
      </c>
      <c r="C51" s="15">
        <f t="shared" si="8"/>
        <v>37349.358999999997</v>
      </c>
      <c r="D51" s="13" t="str">
        <f t="shared" si="9"/>
        <v>vis</v>
      </c>
      <c r="E51" s="52">
        <f>VLOOKUP(C51,Active!C$21:E$973,3,FALSE)</f>
        <v>-656.50448428315804</v>
      </c>
      <c r="F51" s="5" t="s">
        <v>81</v>
      </c>
      <c r="G51" s="13" t="str">
        <f t="shared" si="10"/>
        <v>37349.359</v>
      </c>
      <c r="H51" s="15">
        <f t="shared" si="11"/>
        <v>-656.5</v>
      </c>
      <c r="I51" s="53" t="s">
        <v>170</v>
      </c>
      <c r="J51" s="54" t="s">
        <v>171</v>
      </c>
      <c r="K51" s="53">
        <v>-656.5</v>
      </c>
      <c r="L51" s="53" t="s">
        <v>172</v>
      </c>
      <c r="M51" s="54" t="s">
        <v>86</v>
      </c>
      <c r="N51" s="54"/>
      <c r="O51" s="55" t="s">
        <v>165</v>
      </c>
      <c r="P51" s="55" t="s">
        <v>166</v>
      </c>
    </row>
    <row r="52" spans="1:16" ht="12.75" customHeight="1" thickBot="1" x14ac:dyDescent="0.25">
      <c r="A52" s="15" t="str">
        <f t="shared" si="6"/>
        <v> MHAR 14.15 </v>
      </c>
      <c r="B52" s="5" t="str">
        <f t="shared" si="7"/>
        <v>II</v>
      </c>
      <c r="C52" s="15">
        <f t="shared" si="8"/>
        <v>38406.283000000003</v>
      </c>
      <c r="D52" s="13" t="str">
        <f t="shared" si="9"/>
        <v>vis</v>
      </c>
      <c r="E52" s="52">
        <f>VLOOKUP(C52,Active!C$21:E$973,3,FALSE)</f>
        <v>-20.502169381169463</v>
      </c>
      <c r="F52" s="5" t="s">
        <v>81</v>
      </c>
      <c r="G52" s="13" t="str">
        <f t="shared" si="10"/>
        <v>38406.283</v>
      </c>
      <c r="H52" s="15">
        <f t="shared" si="11"/>
        <v>-20.5</v>
      </c>
      <c r="I52" s="53" t="s">
        <v>173</v>
      </c>
      <c r="J52" s="54" t="s">
        <v>174</v>
      </c>
      <c r="K52" s="53">
        <v>-20.5</v>
      </c>
      <c r="L52" s="53" t="s">
        <v>175</v>
      </c>
      <c r="M52" s="54" t="s">
        <v>86</v>
      </c>
      <c r="N52" s="54"/>
      <c r="O52" s="55" t="s">
        <v>165</v>
      </c>
      <c r="P52" s="55" t="s">
        <v>166</v>
      </c>
    </row>
    <row r="53" spans="1:16" ht="12.75" customHeight="1" thickBot="1" x14ac:dyDescent="0.25">
      <c r="A53" s="15" t="str">
        <f t="shared" si="6"/>
        <v> MHAR 14.15 </v>
      </c>
      <c r="B53" s="5" t="str">
        <f t="shared" si="7"/>
        <v>I</v>
      </c>
      <c r="C53" s="15">
        <f t="shared" si="8"/>
        <v>38440.339</v>
      </c>
      <c r="D53" s="13" t="str">
        <f t="shared" si="9"/>
        <v>vis</v>
      </c>
      <c r="E53" s="52">
        <f>VLOOKUP(C53,Active!C$21:E$973,3,FALSE)</f>
        <v>-9.0262258432579536E-3</v>
      </c>
      <c r="F53" s="5" t="s">
        <v>81</v>
      </c>
      <c r="G53" s="13" t="str">
        <f t="shared" si="10"/>
        <v>38440.339</v>
      </c>
      <c r="H53" s="15">
        <f t="shared" si="11"/>
        <v>0</v>
      </c>
      <c r="I53" s="53" t="s">
        <v>176</v>
      </c>
      <c r="J53" s="54" t="s">
        <v>177</v>
      </c>
      <c r="K53" s="53">
        <v>0</v>
      </c>
      <c r="L53" s="53" t="s">
        <v>178</v>
      </c>
      <c r="M53" s="54" t="s">
        <v>86</v>
      </c>
      <c r="N53" s="54"/>
      <c r="O53" s="55" t="s">
        <v>165</v>
      </c>
      <c r="P53" s="55" t="s">
        <v>166</v>
      </c>
    </row>
    <row r="54" spans="1:16" ht="12.75" customHeight="1" thickBot="1" x14ac:dyDescent="0.25">
      <c r="A54" s="15" t="str">
        <f t="shared" si="6"/>
        <v> MHAR 22.2 </v>
      </c>
      <c r="B54" s="5" t="str">
        <f t="shared" si="7"/>
        <v>I</v>
      </c>
      <c r="C54" s="15">
        <f t="shared" si="8"/>
        <v>39500.468999999997</v>
      </c>
      <c r="D54" s="13" t="str">
        <f t="shared" si="9"/>
        <v>vis</v>
      </c>
      <c r="E54" s="52">
        <f>VLOOKUP(C54,Active!C$21:E$973,3,FALSE)</f>
        <v>637.92249401311381</v>
      </c>
      <c r="F54" s="5" t="s">
        <v>81</v>
      </c>
      <c r="G54" s="13" t="str">
        <f t="shared" si="10"/>
        <v>39500.469</v>
      </c>
      <c r="H54" s="15">
        <f t="shared" si="11"/>
        <v>638</v>
      </c>
      <c r="I54" s="53" t="s">
        <v>179</v>
      </c>
      <c r="J54" s="54" t="s">
        <v>180</v>
      </c>
      <c r="K54" s="53">
        <v>638</v>
      </c>
      <c r="L54" s="53" t="s">
        <v>181</v>
      </c>
      <c r="M54" s="54" t="s">
        <v>86</v>
      </c>
      <c r="N54" s="54"/>
      <c r="O54" s="55" t="s">
        <v>165</v>
      </c>
      <c r="P54" s="55" t="s">
        <v>182</v>
      </c>
    </row>
    <row r="55" spans="1:16" ht="12.75" customHeight="1" thickBot="1" x14ac:dyDescent="0.25">
      <c r="A55" s="15" t="str">
        <f t="shared" si="6"/>
        <v> MHAR 14.15 </v>
      </c>
      <c r="B55" s="5" t="str">
        <f t="shared" si="7"/>
        <v>II</v>
      </c>
      <c r="C55" s="15">
        <f t="shared" si="8"/>
        <v>43192.357000000004</v>
      </c>
      <c r="D55" s="13" t="str">
        <f t="shared" si="9"/>
        <v>vis</v>
      </c>
      <c r="E55" s="52">
        <f>VLOOKUP(C55,Active!C$21:E$973,3,FALSE)</f>
        <v>2859.5101525002547</v>
      </c>
      <c r="F55" s="5" t="s">
        <v>81</v>
      </c>
      <c r="G55" s="13" t="str">
        <f t="shared" si="10"/>
        <v>43192.357</v>
      </c>
      <c r="H55" s="15">
        <f t="shared" si="11"/>
        <v>2859.5</v>
      </c>
      <c r="I55" s="53" t="s">
        <v>201</v>
      </c>
      <c r="J55" s="54" t="s">
        <v>202</v>
      </c>
      <c r="K55" s="53">
        <v>2859.5</v>
      </c>
      <c r="L55" s="53" t="s">
        <v>203</v>
      </c>
      <c r="M55" s="54" t="s">
        <v>86</v>
      </c>
      <c r="N55" s="54"/>
      <c r="O55" s="55" t="s">
        <v>165</v>
      </c>
      <c r="P55" s="55" t="s">
        <v>166</v>
      </c>
    </row>
    <row r="56" spans="1:16" ht="12.75" customHeight="1" thickBot="1" x14ac:dyDescent="0.25">
      <c r="A56" s="15" t="str">
        <f t="shared" si="6"/>
        <v>BAVM 173 </v>
      </c>
      <c r="B56" s="5" t="str">
        <f t="shared" si="7"/>
        <v>II</v>
      </c>
      <c r="C56" s="15">
        <f t="shared" si="8"/>
        <v>50517.463100000001</v>
      </c>
      <c r="D56" s="13" t="str">
        <f t="shared" si="9"/>
        <v>vis</v>
      </c>
      <c r="E56" s="52">
        <f>VLOOKUP(C56,Active!C$21:E$973,3,FALSE)</f>
        <v>7267.3809516330657</v>
      </c>
      <c r="F56" s="5" t="s">
        <v>81</v>
      </c>
      <c r="G56" s="13" t="str">
        <f t="shared" si="10"/>
        <v>50517.4631</v>
      </c>
      <c r="H56" s="15">
        <f t="shared" si="11"/>
        <v>7267.5</v>
      </c>
      <c r="I56" s="53" t="s">
        <v>239</v>
      </c>
      <c r="J56" s="54" t="s">
        <v>240</v>
      </c>
      <c r="K56" s="53">
        <v>7267.5</v>
      </c>
      <c r="L56" s="53" t="s">
        <v>241</v>
      </c>
      <c r="M56" s="54" t="s">
        <v>242</v>
      </c>
      <c r="N56" s="54" t="s">
        <v>243</v>
      </c>
      <c r="O56" s="55" t="s">
        <v>244</v>
      </c>
      <c r="P56" s="56" t="s">
        <v>245</v>
      </c>
    </row>
    <row r="57" spans="1:16" ht="12.75" customHeight="1" thickBot="1" x14ac:dyDescent="0.25">
      <c r="A57" s="15" t="str">
        <f t="shared" si="6"/>
        <v>IBVS 5672 </v>
      </c>
      <c r="B57" s="5" t="str">
        <f t="shared" si="7"/>
        <v>I</v>
      </c>
      <c r="C57" s="15">
        <f t="shared" si="8"/>
        <v>53444.696000000004</v>
      </c>
      <c r="D57" s="13" t="str">
        <f t="shared" si="9"/>
        <v>vis</v>
      </c>
      <c r="E57" s="52">
        <f>VLOOKUP(C57,Active!C$21:E$973,3,FALSE)</f>
        <v>9028.8386351157496</v>
      </c>
      <c r="F57" s="5" t="s">
        <v>81</v>
      </c>
      <c r="G57" s="13" t="str">
        <f t="shared" si="10"/>
        <v>53444.6960</v>
      </c>
      <c r="H57" s="15">
        <f t="shared" si="11"/>
        <v>9029</v>
      </c>
      <c r="I57" s="53" t="s">
        <v>246</v>
      </c>
      <c r="J57" s="54" t="s">
        <v>247</v>
      </c>
      <c r="K57" s="53">
        <v>9029</v>
      </c>
      <c r="L57" s="53" t="s">
        <v>248</v>
      </c>
      <c r="M57" s="54" t="s">
        <v>242</v>
      </c>
      <c r="N57" s="54" t="s">
        <v>249</v>
      </c>
      <c r="O57" s="55" t="s">
        <v>250</v>
      </c>
      <c r="P57" s="56" t="s">
        <v>251</v>
      </c>
    </row>
    <row r="58" spans="1:16" ht="12.75" customHeight="1" thickBot="1" x14ac:dyDescent="0.25">
      <c r="A58" s="15" t="str">
        <f t="shared" si="6"/>
        <v>VSB 45 </v>
      </c>
      <c r="B58" s="5" t="str">
        <f t="shared" si="7"/>
        <v>I</v>
      </c>
      <c r="C58" s="15">
        <f t="shared" si="8"/>
        <v>53740.919000000002</v>
      </c>
      <c r="D58" s="13" t="str">
        <f t="shared" si="9"/>
        <v>vis</v>
      </c>
      <c r="E58" s="52">
        <f>VLOOKUP(C58,Active!C$21:E$973,3,FALSE)</f>
        <v>9207.0903483204929</v>
      </c>
      <c r="F58" s="5" t="s">
        <v>81</v>
      </c>
      <c r="G58" s="13" t="str">
        <f t="shared" si="10"/>
        <v>53740.919</v>
      </c>
      <c r="H58" s="15">
        <f t="shared" si="11"/>
        <v>9207</v>
      </c>
      <c r="I58" s="53" t="s">
        <v>252</v>
      </c>
      <c r="J58" s="54" t="s">
        <v>253</v>
      </c>
      <c r="K58" s="53">
        <v>9207</v>
      </c>
      <c r="L58" s="53" t="s">
        <v>254</v>
      </c>
      <c r="M58" s="54" t="s">
        <v>216</v>
      </c>
      <c r="N58" s="54"/>
      <c r="O58" s="55" t="s">
        <v>255</v>
      </c>
      <c r="P58" s="56" t="s">
        <v>256</v>
      </c>
    </row>
    <row r="59" spans="1:16" ht="12.75" customHeight="1" thickBot="1" x14ac:dyDescent="0.25">
      <c r="A59" s="15" t="str">
        <f t="shared" si="6"/>
        <v>BAVM 178 </v>
      </c>
      <c r="B59" s="5" t="str">
        <f t="shared" si="7"/>
        <v>I</v>
      </c>
      <c r="C59" s="15">
        <f t="shared" si="8"/>
        <v>53755.451699999998</v>
      </c>
      <c r="D59" s="13" t="str">
        <f t="shared" si="9"/>
        <v>vis</v>
      </c>
      <c r="E59" s="52">
        <f>VLOOKUP(C59,Active!C$21:E$973,3,FALSE)</f>
        <v>9215.8353771416496</v>
      </c>
      <c r="F59" s="5" t="s">
        <v>81</v>
      </c>
      <c r="G59" s="13" t="str">
        <f t="shared" si="10"/>
        <v>53755.4517</v>
      </c>
      <c r="H59" s="15">
        <f t="shared" si="11"/>
        <v>9216</v>
      </c>
      <c r="I59" s="53" t="s">
        <v>257</v>
      </c>
      <c r="J59" s="54" t="s">
        <v>258</v>
      </c>
      <c r="K59" s="53">
        <v>9216</v>
      </c>
      <c r="L59" s="53" t="s">
        <v>259</v>
      </c>
      <c r="M59" s="54" t="s">
        <v>260</v>
      </c>
      <c r="N59" s="54" t="s">
        <v>261</v>
      </c>
      <c r="O59" s="55" t="s">
        <v>244</v>
      </c>
      <c r="P59" s="56" t="s">
        <v>262</v>
      </c>
    </row>
    <row r="60" spans="1:16" ht="12.75" customHeight="1" thickBot="1" x14ac:dyDescent="0.25">
      <c r="A60" s="15" t="str">
        <f t="shared" si="6"/>
        <v>BAVM 186 </v>
      </c>
      <c r="B60" s="5" t="str">
        <f t="shared" si="7"/>
        <v>II</v>
      </c>
      <c r="C60" s="15">
        <f t="shared" si="8"/>
        <v>54173.434500000003</v>
      </c>
      <c r="D60" s="13" t="str">
        <f t="shared" si="9"/>
        <v>vis</v>
      </c>
      <c r="E60" s="52">
        <f>VLOOKUP(C60,Active!C$21:E$973,3,FALSE)</f>
        <v>9467.3558539112346</v>
      </c>
      <c r="F60" s="5" t="s">
        <v>81</v>
      </c>
      <c r="G60" s="13" t="str">
        <f t="shared" si="10"/>
        <v>54173.4345</v>
      </c>
      <c r="H60" s="15">
        <f t="shared" si="11"/>
        <v>9467.5</v>
      </c>
      <c r="I60" s="53" t="s">
        <v>263</v>
      </c>
      <c r="J60" s="54" t="s">
        <v>264</v>
      </c>
      <c r="K60" s="53" t="s">
        <v>265</v>
      </c>
      <c r="L60" s="53" t="s">
        <v>266</v>
      </c>
      <c r="M60" s="54" t="s">
        <v>260</v>
      </c>
      <c r="N60" s="54" t="s">
        <v>261</v>
      </c>
      <c r="O60" s="55" t="s">
        <v>244</v>
      </c>
      <c r="P60" s="56" t="s">
        <v>267</v>
      </c>
    </row>
    <row r="61" spans="1:16" ht="12.75" customHeight="1" thickBot="1" x14ac:dyDescent="0.25">
      <c r="A61" s="15" t="str">
        <f t="shared" si="6"/>
        <v>IBVS 5820 </v>
      </c>
      <c r="B61" s="5" t="str">
        <f t="shared" si="7"/>
        <v>I</v>
      </c>
      <c r="C61" s="15">
        <f t="shared" si="8"/>
        <v>54381.950700000001</v>
      </c>
      <c r="D61" s="13" t="str">
        <f t="shared" si="9"/>
        <v>vis</v>
      </c>
      <c r="E61" s="52">
        <f>VLOOKUP(C61,Active!C$21:E$973,3,FALSE)</f>
        <v>9592.8301414612997</v>
      </c>
      <c r="F61" s="5" t="s">
        <v>81</v>
      </c>
      <c r="G61" s="13" t="str">
        <f t="shared" si="10"/>
        <v>54381.9507</v>
      </c>
      <c r="H61" s="15">
        <f t="shared" si="11"/>
        <v>9593</v>
      </c>
      <c r="I61" s="53" t="s">
        <v>268</v>
      </c>
      <c r="J61" s="54" t="s">
        <v>269</v>
      </c>
      <c r="K61" s="53" t="s">
        <v>270</v>
      </c>
      <c r="L61" s="53" t="s">
        <v>271</v>
      </c>
      <c r="M61" s="54" t="s">
        <v>260</v>
      </c>
      <c r="N61" s="54" t="s">
        <v>272</v>
      </c>
      <c r="O61" s="55" t="s">
        <v>250</v>
      </c>
      <c r="P61" s="56" t="s">
        <v>273</v>
      </c>
    </row>
    <row r="62" spans="1:16" ht="12.75" customHeight="1" thickBot="1" x14ac:dyDescent="0.25">
      <c r="A62" s="15" t="str">
        <f t="shared" si="6"/>
        <v>IBVS 5910 </v>
      </c>
      <c r="B62" s="5" t="str">
        <f t="shared" si="7"/>
        <v>I</v>
      </c>
      <c r="C62" s="15">
        <f t="shared" si="8"/>
        <v>54466.699399999998</v>
      </c>
      <c r="D62" s="13" t="str">
        <f t="shared" si="9"/>
        <v>vis</v>
      </c>
      <c r="E62" s="52">
        <f>VLOOKUP(C62,Active!C$21:E$973,3,FALSE)</f>
        <v>9643.8275352047767</v>
      </c>
      <c r="F62" s="5" t="s">
        <v>81</v>
      </c>
      <c r="G62" s="13" t="str">
        <f t="shared" si="10"/>
        <v>54466.6994</v>
      </c>
      <c r="H62" s="15">
        <f t="shared" si="11"/>
        <v>9644</v>
      </c>
      <c r="I62" s="53" t="s">
        <v>274</v>
      </c>
      <c r="J62" s="54" t="s">
        <v>275</v>
      </c>
      <c r="K62" s="53" t="s">
        <v>276</v>
      </c>
      <c r="L62" s="53" t="s">
        <v>277</v>
      </c>
      <c r="M62" s="54" t="s">
        <v>260</v>
      </c>
      <c r="N62" s="54" t="s">
        <v>81</v>
      </c>
      <c r="O62" s="55" t="s">
        <v>278</v>
      </c>
      <c r="P62" s="56" t="s">
        <v>279</v>
      </c>
    </row>
    <row r="63" spans="1:16" ht="12.75" customHeight="1" thickBot="1" x14ac:dyDescent="0.25">
      <c r="A63" s="15" t="str">
        <f t="shared" si="6"/>
        <v>BAVM 201 </v>
      </c>
      <c r="B63" s="5" t="str">
        <f t="shared" si="7"/>
        <v>II</v>
      </c>
      <c r="C63" s="15">
        <f t="shared" si="8"/>
        <v>54507.421499999997</v>
      </c>
      <c r="D63" s="13" t="str">
        <f t="shared" si="9"/>
        <v>vis</v>
      </c>
      <c r="E63" s="52">
        <f>VLOOKUP(C63,Active!C$21:E$973,3,FALSE)</f>
        <v>9668.3319932998438</v>
      </c>
      <c r="F63" s="5" t="s">
        <v>81</v>
      </c>
      <c r="G63" s="13" t="str">
        <f t="shared" si="10"/>
        <v>54507.4215</v>
      </c>
      <c r="H63" s="15">
        <f t="shared" si="11"/>
        <v>9668.5</v>
      </c>
      <c r="I63" s="53" t="s">
        <v>280</v>
      </c>
      <c r="J63" s="54" t="s">
        <v>281</v>
      </c>
      <c r="K63" s="53" t="s">
        <v>282</v>
      </c>
      <c r="L63" s="53" t="s">
        <v>283</v>
      </c>
      <c r="M63" s="54" t="s">
        <v>260</v>
      </c>
      <c r="N63" s="54" t="s">
        <v>261</v>
      </c>
      <c r="O63" s="55" t="s">
        <v>284</v>
      </c>
      <c r="P63" s="56" t="s">
        <v>285</v>
      </c>
    </row>
    <row r="64" spans="1:16" ht="12.75" customHeight="1" thickBot="1" x14ac:dyDescent="0.25">
      <c r="A64" s="15" t="str">
        <f t="shared" si="6"/>
        <v>BAVM 201 </v>
      </c>
      <c r="B64" s="5" t="str">
        <f t="shared" si="7"/>
        <v>II</v>
      </c>
      <c r="C64" s="15">
        <f t="shared" si="8"/>
        <v>54532.337</v>
      </c>
      <c r="D64" s="13" t="str">
        <f t="shared" si="9"/>
        <v>vis</v>
      </c>
      <c r="E64" s="52">
        <f>VLOOKUP(C64,Active!C$21:E$973,3,FALSE)</f>
        <v>9683.3248553002722</v>
      </c>
      <c r="F64" s="5" t="s">
        <v>81</v>
      </c>
      <c r="G64" s="13" t="str">
        <f t="shared" si="10"/>
        <v>54532.3370</v>
      </c>
      <c r="H64" s="15">
        <f t="shared" si="11"/>
        <v>9683.5</v>
      </c>
      <c r="I64" s="53" t="s">
        <v>286</v>
      </c>
      <c r="J64" s="54" t="s">
        <v>287</v>
      </c>
      <c r="K64" s="53" t="s">
        <v>288</v>
      </c>
      <c r="L64" s="53" t="s">
        <v>289</v>
      </c>
      <c r="M64" s="54" t="s">
        <v>260</v>
      </c>
      <c r="N64" s="54" t="s">
        <v>261</v>
      </c>
      <c r="O64" s="55" t="s">
        <v>244</v>
      </c>
      <c r="P64" s="56" t="s">
        <v>285</v>
      </c>
    </row>
    <row r="65" spans="1:16" ht="12.75" customHeight="1" thickBot="1" x14ac:dyDescent="0.25">
      <c r="A65" s="15" t="str">
        <f t="shared" si="6"/>
        <v>IBVS 5910 </v>
      </c>
      <c r="B65" s="5" t="str">
        <f t="shared" si="7"/>
        <v>I</v>
      </c>
      <c r="C65" s="15">
        <f t="shared" si="8"/>
        <v>54735.913399999998</v>
      </c>
      <c r="D65" s="13" t="str">
        <f t="shared" si="9"/>
        <v>vis</v>
      </c>
      <c r="E65" s="52">
        <f>VLOOKUP(C65,Active!C$21:E$973,3,FALSE)</f>
        <v>9805.82662615552</v>
      </c>
      <c r="F65" s="5" t="s">
        <v>81</v>
      </c>
      <c r="G65" s="13" t="str">
        <f t="shared" si="10"/>
        <v>54735.9134</v>
      </c>
      <c r="H65" s="15">
        <f t="shared" si="11"/>
        <v>9806</v>
      </c>
      <c r="I65" s="53" t="s">
        <v>290</v>
      </c>
      <c r="J65" s="54" t="s">
        <v>291</v>
      </c>
      <c r="K65" s="53" t="s">
        <v>292</v>
      </c>
      <c r="L65" s="53" t="s">
        <v>293</v>
      </c>
      <c r="M65" s="54" t="s">
        <v>260</v>
      </c>
      <c r="N65" s="54" t="s">
        <v>81</v>
      </c>
      <c r="O65" s="55" t="s">
        <v>278</v>
      </c>
      <c r="P65" s="56" t="s">
        <v>279</v>
      </c>
    </row>
    <row r="66" spans="1:16" ht="12.75" customHeight="1" thickBot="1" x14ac:dyDescent="0.25">
      <c r="A66" s="15" t="str">
        <f t="shared" si="6"/>
        <v>VSB 50 </v>
      </c>
      <c r="B66" s="5" t="str">
        <f t="shared" si="7"/>
        <v>I</v>
      </c>
      <c r="C66" s="15">
        <f t="shared" si="8"/>
        <v>54857.23</v>
      </c>
      <c r="D66" s="13" t="str">
        <f t="shared" si="9"/>
        <v>vis</v>
      </c>
      <c r="E66" s="52">
        <f>VLOOKUP(C66,Active!C$21:E$973,3,FALSE)</f>
        <v>9878.828694834101</v>
      </c>
      <c r="F66" s="5" t="s">
        <v>81</v>
      </c>
      <c r="G66" s="13" t="str">
        <f t="shared" si="10"/>
        <v>54857.2300</v>
      </c>
      <c r="H66" s="15">
        <f t="shared" si="11"/>
        <v>9879</v>
      </c>
      <c r="I66" s="53" t="s">
        <v>294</v>
      </c>
      <c r="J66" s="54" t="s">
        <v>295</v>
      </c>
      <c r="K66" s="53" t="s">
        <v>296</v>
      </c>
      <c r="L66" s="53" t="s">
        <v>297</v>
      </c>
      <c r="M66" s="54" t="s">
        <v>260</v>
      </c>
      <c r="N66" s="54" t="s">
        <v>81</v>
      </c>
      <c r="O66" s="55" t="s">
        <v>298</v>
      </c>
      <c r="P66" s="56" t="s">
        <v>299</v>
      </c>
    </row>
    <row r="67" spans="1:16" ht="12.75" customHeight="1" thickBot="1" x14ac:dyDescent="0.25">
      <c r="A67" s="15" t="str">
        <f t="shared" si="6"/>
        <v>VSB 53 </v>
      </c>
      <c r="B67" s="5" t="str">
        <f t="shared" si="7"/>
        <v>I</v>
      </c>
      <c r="C67" s="15">
        <f t="shared" si="8"/>
        <v>55570.141499999998</v>
      </c>
      <c r="D67" s="13" t="str">
        <f t="shared" si="9"/>
        <v>vis</v>
      </c>
      <c r="E67" s="52">
        <f>VLOOKUP(C67,Active!C$21:E$973,3,FALSE)</f>
        <v>10307.822041867799</v>
      </c>
      <c r="F67" s="5" t="s">
        <v>81</v>
      </c>
      <c r="G67" s="13" t="str">
        <f t="shared" si="10"/>
        <v>55570.1415</v>
      </c>
      <c r="H67" s="15">
        <f t="shared" si="11"/>
        <v>10308</v>
      </c>
      <c r="I67" s="53" t="s">
        <v>300</v>
      </c>
      <c r="J67" s="54" t="s">
        <v>301</v>
      </c>
      <c r="K67" s="53" t="s">
        <v>302</v>
      </c>
      <c r="L67" s="53" t="s">
        <v>303</v>
      </c>
      <c r="M67" s="54" t="s">
        <v>260</v>
      </c>
      <c r="N67" s="54" t="s">
        <v>81</v>
      </c>
      <c r="O67" s="55" t="s">
        <v>298</v>
      </c>
      <c r="P67" s="56" t="s">
        <v>304</v>
      </c>
    </row>
    <row r="68" spans="1:16" ht="12.75" customHeight="1" thickBot="1" x14ac:dyDescent="0.25">
      <c r="A68" s="15" t="str">
        <f t="shared" si="6"/>
        <v>BAVM 215 </v>
      </c>
      <c r="B68" s="5" t="str">
        <f t="shared" si="7"/>
        <v>I</v>
      </c>
      <c r="C68" s="15">
        <f t="shared" si="8"/>
        <v>55578.467799999999</v>
      </c>
      <c r="D68" s="13" t="str">
        <f t="shared" si="9"/>
        <v>vis</v>
      </c>
      <c r="E68" s="52">
        <f>VLOOKUP(C68,Active!C$21:E$973,3,FALSE)</f>
        <v>10312.832379483909</v>
      </c>
      <c r="F68" s="5" t="s">
        <v>81</v>
      </c>
      <c r="G68" s="13" t="str">
        <f t="shared" si="10"/>
        <v>55578.4678</v>
      </c>
      <c r="H68" s="15">
        <f t="shared" si="11"/>
        <v>10313</v>
      </c>
      <c r="I68" s="53" t="s">
        <v>305</v>
      </c>
      <c r="J68" s="54" t="s">
        <v>306</v>
      </c>
      <c r="K68" s="53" t="s">
        <v>307</v>
      </c>
      <c r="L68" s="53" t="s">
        <v>308</v>
      </c>
      <c r="M68" s="54" t="s">
        <v>260</v>
      </c>
      <c r="N68" s="54" t="s">
        <v>243</v>
      </c>
      <c r="O68" s="55" t="s">
        <v>309</v>
      </c>
      <c r="P68" s="56" t="s">
        <v>310</v>
      </c>
    </row>
    <row r="69" spans="1:16" ht="12.75" customHeight="1" thickBot="1" x14ac:dyDescent="0.25">
      <c r="A69" s="15" t="str">
        <f t="shared" si="6"/>
        <v>IBVS 6011 </v>
      </c>
      <c r="B69" s="5" t="str">
        <f t="shared" si="7"/>
        <v>I</v>
      </c>
      <c r="C69" s="15">
        <f t="shared" si="8"/>
        <v>55895.854599999999</v>
      </c>
      <c r="D69" s="13" t="str">
        <f t="shared" si="9"/>
        <v>vis</v>
      </c>
      <c r="E69" s="52">
        <f>VLOOKUP(C69,Active!C$21:E$973,3,FALSE)</f>
        <v>10503.819375255916</v>
      </c>
      <c r="F69" s="5" t="s">
        <v>81</v>
      </c>
      <c r="G69" s="13" t="str">
        <f t="shared" si="10"/>
        <v>55895.8546</v>
      </c>
      <c r="H69" s="15">
        <f t="shared" si="11"/>
        <v>10504</v>
      </c>
      <c r="I69" s="53" t="s">
        <v>311</v>
      </c>
      <c r="J69" s="54" t="s">
        <v>312</v>
      </c>
      <c r="K69" s="53" t="s">
        <v>313</v>
      </c>
      <c r="L69" s="53" t="s">
        <v>314</v>
      </c>
      <c r="M69" s="54" t="s">
        <v>260</v>
      </c>
      <c r="N69" s="54" t="s">
        <v>81</v>
      </c>
      <c r="O69" s="55" t="s">
        <v>315</v>
      </c>
      <c r="P69" s="56" t="s">
        <v>316</v>
      </c>
    </row>
    <row r="70" spans="1:16" ht="12.75" customHeight="1" thickBot="1" x14ac:dyDescent="0.25">
      <c r="A70" s="15" t="str">
        <f t="shared" si="6"/>
        <v>VSB 55 </v>
      </c>
      <c r="B70" s="5" t="str">
        <f t="shared" si="7"/>
        <v>I</v>
      </c>
      <c r="C70" s="15">
        <f t="shared" si="8"/>
        <v>55944.046000000002</v>
      </c>
      <c r="D70" s="13" t="str">
        <f t="shared" si="9"/>
        <v>vis</v>
      </c>
      <c r="E70" s="52">
        <f>VLOOKUP(C70,Active!C$21:E$973,3,FALSE)</f>
        <v>10532.818472597228</v>
      </c>
      <c r="F70" s="5" t="s">
        <v>81</v>
      </c>
      <c r="G70" s="13" t="str">
        <f t="shared" si="10"/>
        <v>55944.0460</v>
      </c>
      <c r="H70" s="15">
        <f t="shared" si="11"/>
        <v>10533</v>
      </c>
      <c r="I70" s="53" t="s">
        <v>317</v>
      </c>
      <c r="J70" s="54" t="s">
        <v>318</v>
      </c>
      <c r="K70" s="53" t="s">
        <v>319</v>
      </c>
      <c r="L70" s="53" t="s">
        <v>320</v>
      </c>
      <c r="M70" s="54" t="s">
        <v>260</v>
      </c>
      <c r="N70" s="54" t="s">
        <v>321</v>
      </c>
      <c r="O70" s="55" t="s">
        <v>322</v>
      </c>
      <c r="P70" s="56" t="s">
        <v>323</v>
      </c>
    </row>
    <row r="71" spans="1:16" ht="12.75" customHeight="1" thickBot="1" x14ac:dyDescent="0.25">
      <c r="A71" s="15" t="str">
        <f t="shared" si="6"/>
        <v>IBVS 6050 </v>
      </c>
      <c r="B71" s="5" t="str">
        <f t="shared" si="7"/>
        <v>I</v>
      </c>
      <c r="C71" s="15">
        <f t="shared" si="8"/>
        <v>55945.710200000001</v>
      </c>
      <c r="D71" s="13" t="str">
        <f t="shared" si="9"/>
        <v>vis</v>
      </c>
      <c r="E71" s="52">
        <f>VLOOKUP(C71,Active!C$21:E$973,3,FALSE)</f>
        <v>10533.819902267156</v>
      </c>
      <c r="F71" s="5" t="s">
        <v>81</v>
      </c>
      <c r="G71" s="13" t="str">
        <f t="shared" si="10"/>
        <v>55945.7102</v>
      </c>
      <c r="H71" s="15">
        <f t="shared" si="11"/>
        <v>10534</v>
      </c>
      <c r="I71" s="53" t="s">
        <v>324</v>
      </c>
      <c r="J71" s="54" t="s">
        <v>325</v>
      </c>
      <c r="K71" s="53" t="s">
        <v>326</v>
      </c>
      <c r="L71" s="53" t="s">
        <v>327</v>
      </c>
      <c r="M71" s="54" t="s">
        <v>260</v>
      </c>
      <c r="N71" s="54" t="s">
        <v>74</v>
      </c>
      <c r="O71" s="55" t="s">
        <v>250</v>
      </c>
      <c r="P71" s="56" t="s">
        <v>328</v>
      </c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</sheetData>
  <phoneticPr fontId="8" type="noConversion"/>
  <hyperlinks>
    <hyperlink ref="P56" r:id="rId1" display="http://www.bav-astro.de/sfs/BAVM_link.php?BAVMnr=173" xr:uid="{00000000-0004-0000-0100-000000000000}"/>
    <hyperlink ref="P57" r:id="rId2" display="http://www.konkoly.hu/cgi-bin/IBVS?5672" xr:uid="{00000000-0004-0000-0100-000001000000}"/>
    <hyperlink ref="P58" r:id="rId3" display="http://vsolj.cetus-net.org/no45.pdf" xr:uid="{00000000-0004-0000-0100-000002000000}"/>
    <hyperlink ref="P59" r:id="rId4" display="http://www.bav-astro.de/sfs/BAVM_link.php?BAVMnr=178" xr:uid="{00000000-0004-0000-0100-000003000000}"/>
    <hyperlink ref="P60" r:id="rId5" display="http://www.bav-astro.de/sfs/BAVM_link.php?BAVMnr=186" xr:uid="{00000000-0004-0000-0100-000004000000}"/>
    <hyperlink ref="P61" r:id="rId6" display="http://www.konkoly.hu/cgi-bin/IBVS?5820" xr:uid="{00000000-0004-0000-0100-000005000000}"/>
    <hyperlink ref="P62" r:id="rId7" display="http://www.konkoly.hu/cgi-bin/IBVS?5910" xr:uid="{00000000-0004-0000-0100-000006000000}"/>
    <hyperlink ref="P63" r:id="rId8" display="http://www.bav-astro.de/sfs/BAVM_link.php?BAVMnr=201" xr:uid="{00000000-0004-0000-0100-000007000000}"/>
    <hyperlink ref="P64" r:id="rId9" display="http://www.bav-astro.de/sfs/BAVM_link.php?BAVMnr=201" xr:uid="{00000000-0004-0000-0100-000008000000}"/>
    <hyperlink ref="P65" r:id="rId10" display="http://www.konkoly.hu/cgi-bin/IBVS?5910" xr:uid="{00000000-0004-0000-0100-000009000000}"/>
    <hyperlink ref="P66" r:id="rId11" display="http://vsolj.cetus-net.org/vsoljno50.pdf" xr:uid="{00000000-0004-0000-0100-00000A000000}"/>
    <hyperlink ref="P67" r:id="rId12" display="http://vsolj.cetus-net.org/vsoljno53.pdf" xr:uid="{00000000-0004-0000-0100-00000B000000}"/>
    <hyperlink ref="P68" r:id="rId13" display="http://www.bav-astro.de/sfs/BAVM_link.php?BAVMnr=215" xr:uid="{00000000-0004-0000-0100-00000C000000}"/>
    <hyperlink ref="P69" r:id="rId14" display="http://www.konkoly.hu/cgi-bin/IBVS?6011" xr:uid="{00000000-0004-0000-0100-00000D000000}"/>
    <hyperlink ref="P70" r:id="rId15" display="http://vsolj.cetus-net.org/vsoljno55.pdf" xr:uid="{00000000-0004-0000-0100-00000E000000}"/>
    <hyperlink ref="P71" r:id="rId16" display="http://www.konkoly.hu/cgi-bin/IBVS?6050" xr:uid="{00000000-0004-0000-0100-00000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G1662"/>
  <sheetViews>
    <sheetView workbookViewId="0">
      <selection activeCell="D34" sqref="D3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</row>
    <row r="2" spans="1:7" x14ac:dyDescent="0.2">
      <c r="A2" t="s">
        <v>26</v>
      </c>
      <c r="B2" s="12" t="s">
        <v>52</v>
      </c>
    </row>
    <row r="3" spans="1:7" ht="13.5" thickBot="1" x14ac:dyDescent="0.25"/>
    <row r="4" spans="1:7" ht="14.25" thickTop="1" thickBot="1" x14ac:dyDescent="0.25">
      <c r="A4" s="7" t="s">
        <v>1</v>
      </c>
      <c r="C4" s="3">
        <v>38440.353999999999</v>
      </c>
      <c r="D4" s="4">
        <v>1.66182414</v>
      </c>
    </row>
    <row r="5" spans="1:7" ht="13.5" thickTop="1" x14ac:dyDescent="0.2"/>
    <row r="6" spans="1:7" x14ac:dyDescent="0.2">
      <c r="A6" s="7" t="s">
        <v>2</v>
      </c>
    </row>
    <row r="7" spans="1:7" x14ac:dyDescent="0.2">
      <c r="A7" t="s">
        <v>3</v>
      </c>
      <c r="C7">
        <f>+C4</f>
        <v>38440.353999999999</v>
      </c>
    </row>
    <row r="8" spans="1:7" x14ac:dyDescent="0.2">
      <c r="A8" t="s">
        <v>4</v>
      </c>
      <c r="C8">
        <f>+D4</f>
        <v>1.66182414</v>
      </c>
    </row>
    <row r="9" spans="1:7" x14ac:dyDescent="0.2">
      <c r="A9" s="18" t="s">
        <v>56</v>
      </c>
      <c r="B9" s="13"/>
      <c r="C9" s="19">
        <v>8</v>
      </c>
      <c r="D9" s="13" t="s">
        <v>57</v>
      </c>
      <c r="E9" s="13"/>
    </row>
    <row r="10" spans="1:7" ht="13.5" thickBot="1" x14ac:dyDescent="0.25">
      <c r="A10" s="13"/>
      <c r="B10" s="13"/>
      <c r="C10" s="6" t="s">
        <v>21</v>
      </c>
      <c r="D10" s="6" t="s">
        <v>22</v>
      </c>
      <c r="E10" s="13"/>
    </row>
    <row r="11" spans="1:7" x14ac:dyDescent="0.2">
      <c r="A11" s="13" t="s">
        <v>17</v>
      </c>
      <c r="B11" s="13"/>
      <c r="C11" s="31">
        <f ca="1">INTERCEPT(INDIRECT($G$11):G992,INDIRECT($F$11):F992)</f>
        <v>-4.0386700037098044E-2</v>
      </c>
      <c r="D11" s="5"/>
      <c r="E11" s="13"/>
      <c r="F11" s="32" t="str">
        <f>"F"&amp;E19</f>
        <v>F21</v>
      </c>
      <c r="G11" s="10" t="str">
        <f>"G"&amp;E19</f>
        <v>G21</v>
      </c>
    </row>
    <row r="12" spans="1:7" x14ac:dyDescent="0.2">
      <c r="A12" s="13" t="s">
        <v>18</v>
      </c>
      <c r="B12" s="13"/>
      <c r="C12" s="31">
        <f ca="1">SLOPE(INDIRECT($G$11):G992,INDIRECT($F$11):F992)</f>
        <v>-2.5296484372404832E-5</v>
      </c>
      <c r="D12" s="5"/>
      <c r="E12" s="13"/>
    </row>
    <row r="13" spans="1:7" x14ac:dyDescent="0.2">
      <c r="A13" s="13" t="s">
        <v>20</v>
      </c>
      <c r="B13" s="13"/>
      <c r="C13" s="5" t="s">
        <v>15</v>
      </c>
      <c r="D13" s="22" t="s">
        <v>67</v>
      </c>
      <c r="E13" s="19">
        <v>1</v>
      </c>
    </row>
    <row r="14" spans="1:7" x14ac:dyDescent="0.2">
      <c r="A14" s="13"/>
      <c r="B14" s="13"/>
      <c r="C14" s="13"/>
      <c r="D14" s="22" t="s">
        <v>58</v>
      </c>
      <c r="E14" s="23">
        <f ca="1">NOW()+15018.5+$C$9/24</f>
        <v>60310.477998032409</v>
      </c>
    </row>
    <row r="15" spans="1:7" x14ac:dyDescent="0.2">
      <c r="A15" s="20" t="s">
        <v>19</v>
      </c>
      <c r="B15" s="13"/>
      <c r="C15" s="21">
        <f ca="1">(C7+C11)+(C8+C12)*INT(MAX(F21:F3533))</f>
        <v>55945.702630893589</v>
      </c>
      <c r="D15" s="22" t="s">
        <v>68</v>
      </c>
      <c r="E15" s="23">
        <f ca="1">ROUND(2*(E14-$C$7)/$C$8,0)/2+E13</f>
        <v>13161.5</v>
      </c>
    </row>
    <row r="16" spans="1:7" x14ac:dyDescent="0.2">
      <c r="A16" s="24" t="s">
        <v>5</v>
      </c>
      <c r="B16" s="13"/>
      <c r="C16" s="25">
        <f ca="1">+C8+C12</f>
        <v>1.6617988435156277</v>
      </c>
      <c r="D16" s="22" t="s">
        <v>59</v>
      </c>
      <c r="E16" s="10">
        <f ca="1">ROUND(2*(E14-$C$15)/$C$16,0)/2+E13</f>
        <v>2627.5</v>
      </c>
    </row>
    <row r="17" spans="1:33" ht="13.5" thickBot="1" x14ac:dyDescent="0.25">
      <c r="A17" s="22" t="s">
        <v>53</v>
      </c>
      <c r="B17" s="13"/>
      <c r="C17" s="13">
        <f>COUNT(C21:C2191)</f>
        <v>34</v>
      </c>
      <c r="D17" s="22" t="s">
        <v>60</v>
      </c>
      <c r="E17" s="26">
        <f ca="1">+$C$15+$C$16*E16-15018.5-$C$9/24</f>
        <v>45293.245758897567</v>
      </c>
    </row>
    <row r="18" spans="1:33" ht="14.25" thickTop="1" thickBot="1" x14ac:dyDescent="0.25">
      <c r="A18" s="24" t="s">
        <v>6</v>
      </c>
      <c r="B18" s="13"/>
      <c r="C18" s="27">
        <f ca="1">+C15</f>
        <v>55945.702630893589</v>
      </c>
      <c r="D18" s="28">
        <f ca="1">+C16</f>
        <v>1.6617988435156277</v>
      </c>
      <c r="E18" s="29" t="s">
        <v>61</v>
      </c>
    </row>
    <row r="19" spans="1:33" ht="13.5" thickTop="1" x14ac:dyDescent="0.2">
      <c r="A19" s="33" t="s">
        <v>63</v>
      </c>
      <c r="E19" s="34">
        <v>21</v>
      </c>
    </row>
    <row r="20" spans="1:33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13</v>
      </c>
      <c r="I20" s="9" t="s">
        <v>30</v>
      </c>
      <c r="J20" s="9" t="s">
        <v>44</v>
      </c>
      <c r="K20" s="9" t="s">
        <v>48</v>
      </c>
      <c r="L20" s="9" t="s">
        <v>51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16</v>
      </c>
    </row>
    <row r="21" spans="1:33" x14ac:dyDescent="0.2">
      <c r="A21" t="s">
        <v>47</v>
      </c>
      <c r="C21" s="16">
        <v>33649.370000000003</v>
      </c>
      <c r="D21" s="17"/>
      <c r="E21">
        <f t="shared" ref="E21:E36" si="0">+(C21-C$7)/C$8</f>
        <v>-2882.9669064742293</v>
      </c>
      <c r="F21">
        <f t="shared" ref="F21:F54" si="1">ROUND(2*E21,0)/2</f>
        <v>-2883</v>
      </c>
      <c r="G21">
        <f t="shared" ref="G21:G31" si="2">+C21-(C$7+F21*C$8)</f>
        <v>5.4995620004774537E-2</v>
      </c>
      <c r="N21">
        <f>G21</f>
        <v>5.4995620004774537E-2</v>
      </c>
      <c r="O21">
        <f t="shared" ref="O21:O36" ca="1" si="3">+C$11+C$12*F21</f>
        <v>3.2543064408545083E-2</v>
      </c>
      <c r="Q21" s="2">
        <f t="shared" ref="Q21:Q36" si="4">+C21-15018.5</f>
        <v>18630.870000000003</v>
      </c>
    </row>
    <row r="22" spans="1:33" x14ac:dyDescent="0.2">
      <c r="A22" t="s">
        <v>13</v>
      </c>
      <c r="B22" s="5"/>
      <c r="C22" s="17">
        <v>38440.353999999999</v>
      </c>
      <c r="D22" s="17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-4.0386700037098044E-2</v>
      </c>
      <c r="Q22" s="2">
        <f t="shared" si="4"/>
        <v>23421.853999999999</v>
      </c>
    </row>
    <row r="23" spans="1:33" x14ac:dyDescent="0.2">
      <c r="A23" t="s">
        <v>32</v>
      </c>
      <c r="B23" s="5"/>
      <c r="C23" s="17">
        <v>40477.593000000001</v>
      </c>
      <c r="D23" s="17"/>
      <c r="E23">
        <f t="shared" si="0"/>
        <v>1225.9052874271049</v>
      </c>
      <c r="F23">
        <f t="shared" si="1"/>
        <v>1226</v>
      </c>
      <c r="G23">
        <f t="shared" si="2"/>
        <v>-0.15739563999522943</v>
      </c>
      <c r="N23">
        <f t="shared" ref="N23:N31" si="5">+G23</f>
        <v>-0.15739563999522943</v>
      </c>
      <c r="O23">
        <f t="shared" ca="1" si="3"/>
        <v>-7.1400189877666373E-2</v>
      </c>
      <c r="Q23" s="2">
        <f t="shared" si="4"/>
        <v>25459.093000000001</v>
      </c>
      <c r="AA23" t="s">
        <v>31</v>
      </c>
      <c r="AG23" t="s">
        <v>33</v>
      </c>
    </row>
    <row r="24" spans="1:33" x14ac:dyDescent="0.2">
      <c r="A24" t="s">
        <v>32</v>
      </c>
      <c r="B24" s="5"/>
      <c r="C24" s="17">
        <v>40512.601000000002</v>
      </c>
      <c r="D24" s="17"/>
      <c r="E24">
        <f t="shared" si="0"/>
        <v>1246.9712950493083</v>
      </c>
      <c r="F24">
        <f t="shared" si="1"/>
        <v>1247</v>
      </c>
      <c r="G24">
        <f t="shared" si="2"/>
        <v>-4.7702579999167938E-2</v>
      </c>
      <c r="N24">
        <f t="shared" si="5"/>
        <v>-4.7702579999167938E-2</v>
      </c>
      <c r="O24">
        <f t="shared" ca="1" si="3"/>
        <v>-7.1931416049486871E-2</v>
      </c>
      <c r="Q24" s="2">
        <f t="shared" si="4"/>
        <v>25494.101000000002</v>
      </c>
      <c r="AA24" t="s">
        <v>31</v>
      </c>
      <c r="AG24" t="s">
        <v>33</v>
      </c>
    </row>
    <row r="25" spans="1:33" x14ac:dyDescent="0.2">
      <c r="A25" t="s">
        <v>32</v>
      </c>
      <c r="B25" s="5"/>
      <c r="C25" s="17">
        <v>40532.578000000001</v>
      </c>
      <c r="D25" s="17"/>
      <c r="E25">
        <f t="shared" si="0"/>
        <v>1258.9924226278251</v>
      </c>
      <c r="F25">
        <f t="shared" si="1"/>
        <v>1259</v>
      </c>
      <c r="G25">
        <f t="shared" si="2"/>
        <v>-1.2592259998200461E-2</v>
      </c>
      <c r="N25">
        <f t="shared" si="5"/>
        <v>-1.2592259998200461E-2</v>
      </c>
      <c r="O25">
        <f t="shared" ca="1" si="3"/>
        <v>-7.2234973861955737E-2</v>
      </c>
      <c r="Q25" s="2">
        <f t="shared" si="4"/>
        <v>25514.078000000001</v>
      </c>
      <c r="AA25" t="s">
        <v>31</v>
      </c>
      <c r="AG25" t="s">
        <v>33</v>
      </c>
    </row>
    <row r="26" spans="1:33" x14ac:dyDescent="0.2">
      <c r="A26" t="s">
        <v>32</v>
      </c>
      <c r="B26" s="5"/>
      <c r="C26" s="17">
        <v>41240.525999999998</v>
      </c>
      <c r="D26" s="17"/>
      <c r="E26">
        <f t="shared" si="0"/>
        <v>1684.9989915298731</v>
      </c>
      <c r="F26">
        <f t="shared" si="1"/>
        <v>1685</v>
      </c>
      <c r="G26">
        <f t="shared" si="2"/>
        <v>-1.6758999990997836E-3</v>
      </c>
      <c r="N26">
        <f t="shared" si="5"/>
        <v>-1.6758999990997836E-3</v>
      </c>
      <c r="O26">
        <f t="shared" ca="1" si="3"/>
        <v>-8.3011276204600193E-2</v>
      </c>
      <c r="Q26" s="2">
        <f t="shared" si="4"/>
        <v>26222.025999999998</v>
      </c>
      <c r="AA26" t="s">
        <v>31</v>
      </c>
      <c r="AG26" t="s">
        <v>33</v>
      </c>
    </row>
    <row r="27" spans="1:33" x14ac:dyDescent="0.2">
      <c r="A27" t="s">
        <v>32</v>
      </c>
      <c r="B27" s="5"/>
      <c r="C27" s="17">
        <v>42016.463000000003</v>
      </c>
      <c r="D27" s="17"/>
      <c r="E27">
        <f t="shared" si="0"/>
        <v>2151.917831690665</v>
      </c>
      <c r="F27">
        <f t="shared" si="1"/>
        <v>2152</v>
      </c>
      <c r="G27">
        <f t="shared" si="2"/>
        <v>-0.13654927999596111</v>
      </c>
      <c r="N27">
        <f t="shared" si="5"/>
        <v>-0.13654927999596111</v>
      </c>
      <c r="O27">
        <f t="shared" ca="1" si="3"/>
        <v>-9.4824734406513234E-2</v>
      </c>
      <c r="Q27" s="2">
        <f t="shared" si="4"/>
        <v>26997.963000000003</v>
      </c>
      <c r="AA27" t="s">
        <v>31</v>
      </c>
      <c r="AG27" t="s">
        <v>33</v>
      </c>
    </row>
    <row r="28" spans="1:33" x14ac:dyDescent="0.2">
      <c r="A28" t="s">
        <v>32</v>
      </c>
      <c r="B28" s="5"/>
      <c r="C28" s="17">
        <v>42714.453999999998</v>
      </c>
      <c r="D28" s="17"/>
      <c r="E28">
        <f t="shared" si="0"/>
        <v>2571.9327918777244</v>
      </c>
      <c r="F28">
        <f t="shared" si="1"/>
        <v>2572</v>
      </c>
      <c r="G28">
        <f t="shared" si="2"/>
        <v>-0.11168808000365971</v>
      </c>
      <c r="N28">
        <f t="shared" si="5"/>
        <v>-0.11168808000365971</v>
      </c>
      <c r="O28">
        <f t="shared" ca="1" si="3"/>
        <v>-0.10544925784292328</v>
      </c>
      <c r="Q28" s="2">
        <f t="shared" si="4"/>
        <v>27695.953999999998</v>
      </c>
      <c r="AA28" t="s">
        <v>31</v>
      </c>
      <c r="AG28" t="s">
        <v>33</v>
      </c>
    </row>
    <row r="29" spans="1:33" x14ac:dyDescent="0.2">
      <c r="A29" t="s">
        <v>32</v>
      </c>
      <c r="B29" s="5"/>
      <c r="C29" s="17">
        <v>44118.597000000002</v>
      </c>
      <c r="D29" s="17"/>
      <c r="E29">
        <f t="shared" si="0"/>
        <v>3416.873580859165</v>
      </c>
      <c r="F29">
        <f t="shared" si="1"/>
        <v>3417</v>
      </c>
      <c r="G29">
        <f t="shared" si="2"/>
        <v>-0.21008638000057545</v>
      </c>
      <c r="N29">
        <f t="shared" si="5"/>
        <v>-0.21008638000057545</v>
      </c>
      <c r="O29">
        <f t="shared" ca="1" si="3"/>
        <v>-0.12682478713760537</v>
      </c>
      <c r="Q29" s="2">
        <f t="shared" si="4"/>
        <v>29100.097000000002</v>
      </c>
      <c r="AA29" t="s">
        <v>31</v>
      </c>
      <c r="AG29" t="s">
        <v>33</v>
      </c>
    </row>
    <row r="30" spans="1:33" x14ac:dyDescent="0.2">
      <c r="A30" t="s">
        <v>32</v>
      </c>
      <c r="B30" s="5"/>
      <c r="C30" s="17">
        <v>45368.296999999999</v>
      </c>
      <c r="D30" s="17"/>
      <c r="E30">
        <f t="shared" si="0"/>
        <v>4168.8785433096427</v>
      </c>
      <c r="F30">
        <f t="shared" si="1"/>
        <v>4169</v>
      </c>
      <c r="G30">
        <f t="shared" si="2"/>
        <v>-0.20183966000331566</v>
      </c>
      <c r="N30">
        <f t="shared" si="5"/>
        <v>-0.20183966000331566</v>
      </c>
      <c r="O30">
        <f t="shared" ca="1" si="3"/>
        <v>-0.14584774338565379</v>
      </c>
      <c r="Q30" s="2">
        <f t="shared" si="4"/>
        <v>30349.796999999999</v>
      </c>
      <c r="AA30" t="s">
        <v>31</v>
      </c>
      <c r="AG30" t="s">
        <v>33</v>
      </c>
    </row>
    <row r="31" spans="1:33" x14ac:dyDescent="0.2">
      <c r="A31" t="s">
        <v>32</v>
      </c>
      <c r="B31" s="5"/>
      <c r="C31" s="17">
        <v>45647.514999999999</v>
      </c>
      <c r="D31" s="17"/>
      <c r="E31">
        <f t="shared" si="0"/>
        <v>4336.8975251496831</v>
      </c>
      <c r="F31">
        <f t="shared" si="1"/>
        <v>4337</v>
      </c>
      <c r="G31">
        <f t="shared" si="2"/>
        <v>-0.17029517999617383</v>
      </c>
      <c r="N31">
        <f t="shared" si="5"/>
        <v>-0.17029517999617383</v>
      </c>
      <c r="O31">
        <f t="shared" ca="1" si="3"/>
        <v>-0.1500975527602178</v>
      </c>
      <c r="Q31" s="2">
        <f t="shared" si="4"/>
        <v>30629.014999999999</v>
      </c>
      <c r="AA31" t="s">
        <v>31</v>
      </c>
      <c r="AG31" t="s">
        <v>33</v>
      </c>
    </row>
    <row r="32" spans="1:33" x14ac:dyDescent="0.2">
      <c r="A32" s="10" t="s">
        <v>37</v>
      </c>
      <c r="B32" s="5"/>
      <c r="C32" s="17">
        <v>47211.455999999998</v>
      </c>
      <c r="D32" s="17"/>
      <c r="E32">
        <f t="shared" si="0"/>
        <v>5277.9965032882474</v>
      </c>
      <c r="F32">
        <f t="shared" si="1"/>
        <v>5278</v>
      </c>
      <c r="I32" s="10">
        <v>-5.8109200035687536E-3</v>
      </c>
      <c r="O32">
        <f t="shared" ca="1" si="3"/>
        <v>-0.17390154455465076</v>
      </c>
      <c r="Q32" s="2">
        <f t="shared" si="4"/>
        <v>32192.955999999998</v>
      </c>
      <c r="AA32" t="s">
        <v>34</v>
      </c>
      <c r="AB32">
        <v>9</v>
      </c>
      <c r="AD32" t="s">
        <v>35</v>
      </c>
      <c r="AE32" t="s">
        <v>36</v>
      </c>
      <c r="AG32" t="s">
        <v>38</v>
      </c>
    </row>
    <row r="33" spans="1:33" x14ac:dyDescent="0.2">
      <c r="A33" s="10" t="s">
        <v>39</v>
      </c>
      <c r="B33" s="5"/>
      <c r="C33" s="17">
        <v>47231.425999999999</v>
      </c>
      <c r="D33" s="17"/>
      <c r="E33">
        <f t="shared" si="0"/>
        <v>5290.0134186280384</v>
      </c>
      <c r="F33">
        <f t="shared" si="1"/>
        <v>5290</v>
      </c>
      <c r="I33" s="10">
        <v>2.2299399999610614E-2</v>
      </c>
      <c r="O33">
        <f t="shared" ca="1" si="3"/>
        <v>-0.17420510236711961</v>
      </c>
      <c r="Q33" s="2">
        <f t="shared" si="4"/>
        <v>32212.925999999999</v>
      </c>
      <c r="AA33" t="s">
        <v>34</v>
      </c>
      <c r="AB33">
        <v>8</v>
      </c>
      <c r="AD33" t="s">
        <v>35</v>
      </c>
      <c r="AE33" t="s">
        <v>36</v>
      </c>
      <c r="AG33" t="s">
        <v>38</v>
      </c>
    </row>
    <row r="34" spans="1:33" x14ac:dyDescent="0.2">
      <c r="A34" s="10" t="s">
        <v>40</v>
      </c>
      <c r="B34" s="5"/>
      <c r="C34" s="17">
        <v>47595.356</v>
      </c>
      <c r="D34" s="17"/>
      <c r="E34">
        <f t="shared" si="0"/>
        <v>5509.007710045661</v>
      </c>
      <c r="F34">
        <f t="shared" si="1"/>
        <v>5509</v>
      </c>
      <c r="I34" s="10">
        <v>1.2812740002118517E-2</v>
      </c>
      <c r="O34">
        <f t="shared" ca="1" si="3"/>
        <v>-0.17974503244467627</v>
      </c>
      <c r="Q34" s="2">
        <f t="shared" si="4"/>
        <v>32576.856</v>
      </c>
      <c r="AA34" t="s">
        <v>34</v>
      </c>
      <c r="AB34">
        <v>7</v>
      </c>
      <c r="AD34" t="s">
        <v>35</v>
      </c>
      <c r="AE34" t="s">
        <v>36</v>
      </c>
      <c r="AG34" t="s">
        <v>38</v>
      </c>
    </row>
    <row r="35" spans="1:33" x14ac:dyDescent="0.2">
      <c r="A35" s="10" t="s">
        <v>41</v>
      </c>
      <c r="B35" s="5"/>
      <c r="C35" s="17">
        <v>47914.444000000003</v>
      </c>
      <c r="D35" s="17"/>
      <c r="E35">
        <f t="shared" si="0"/>
        <v>5701.0184001780135</v>
      </c>
      <c r="F35">
        <f t="shared" si="1"/>
        <v>5701</v>
      </c>
      <c r="I35" s="10">
        <v>3.0577860001358204E-2</v>
      </c>
      <c r="O35">
        <f t="shared" ca="1" si="3"/>
        <v>-0.18460195744417798</v>
      </c>
      <c r="Q35" s="2">
        <f t="shared" si="4"/>
        <v>32895.944000000003</v>
      </c>
      <c r="AA35" t="s">
        <v>34</v>
      </c>
      <c r="AB35">
        <v>7</v>
      </c>
      <c r="AD35" t="s">
        <v>35</v>
      </c>
      <c r="AE35" t="s">
        <v>36</v>
      </c>
      <c r="AG35" t="s">
        <v>38</v>
      </c>
    </row>
    <row r="36" spans="1:33" x14ac:dyDescent="0.2">
      <c r="A36" s="10" t="s">
        <v>42</v>
      </c>
      <c r="B36" s="5"/>
      <c r="C36" s="17">
        <v>48652.303</v>
      </c>
      <c r="D36" s="17">
        <v>6.0000000000000001E-3</v>
      </c>
      <c r="E36">
        <f t="shared" si="0"/>
        <v>6145.023865160606</v>
      </c>
      <c r="F36">
        <f t="shared" si="1"/>
        <v>6145</v>
      </c>
      <c r="I36" s="10">
        <v>3.9659699999901932E-2</v>
      </c>
      <c r="O36">
        <f t="shared" ca="1" si="3"/>
        <v>-0.19583359650552573</v>
      </c>
      <c r="Q36" s="2">
        <f t="shared" si="4"/>
        <v>33633.803</v>
      </c>
      <c r="AA36" t="s">
        <v>34</v>
      </c>
      <c r="AB36">
        <v>8</v>
      </c>
      <c r="AD36" t="s">
        <v>35</v>
      </c>
      <c r="AE36" t="s">
        <v>36</v>
      </c>
      <c r="AG36" t="s">
        <v>38</v>
      </c>
    </row>
    <row r="37" spans="1:33" x14ac:dyDescent="0.2">
      <c r="A37" s="10" t="s">
        <v>43</v>
      </c>
      <c r="B37" s="5"/>
      <c r="C37" s="17">
        <v>49104.322</v>
      </c>
      <c r="D37" s="17">
        <v>5.0000000000000001E-3</v>
      </c>
      <c r="E37">
        <f t="shared" ref="E37:E54" si="6">+(C37-C$7)/C$8</f>
        <v>6417.0255704674028</v>
      </c>
      <c r="F37">
        <f t="shared" si="1"/>
        <v>6417</v>
      </c>
      <c r="I37" s="10">
        <v>4.2493619999731891E-2</v>
      </c>
      <c r="O37">
        <f t="shared" ref="O37:O54" ca="1" si="7">+C$11+C$12*F37</f>
        <v>-0.20271424025481985</v>
      </c>
      <c r="Q37" s="2">
        <f t="shared" ref="Q37:Q54" si="8">+C37-15018.5</f>
        <v>34085.822</v>
      </c>
      <c r="AA37" t="s">
        <v>34</v>
      </c>
      <c r="AB37">
        <v>6</v>
      </c>
      <c r="AD37" t="s">
        <v>35</v>
      </c>
      <c r="AE37" t="s">
        <v>36</v>
      </c>
      <c r="AG37" t="s">
        <v>38</v>
      </c>
    </row>
    <row r="38" spans="1:33" x14ac:dyDescent="0.2">
      <c r="A38" s="11" t="s">
        <v>50</v>
      </c>
      <c r="B38" s="5" t="s">
        <v>45</v>
      </c>
      <c r="C38" s="17">
        <v>50517.463100000001</v>
      </c>
      <c r="D38" s="17">
        <v>1.6999999999999999E-3</v>
      </c>
      <c r="E38">
        <f t="shared" si="6"/>
        <v>7267.3809516330657</v>
      </c>
      <c r="F38">
        <f t="shared" si="1"/>
        <v>7267.5</v>
      </c>
      <c r="G38">
        <f t="shared" ref="G38:G54" si="9">+C38-(C$7+F38*C$8)</f>
        <v>-0.19783744999585906</v>
      </c>
      <c r="L38">
        <f>+G38</f>
        <v>-0.19783744999585906</v>
      </c>
      <c r="O38">
        <f t="shared" ca="1" si="7"/>
        <v>-0.22422890021355016</v>
      </c>
      <c r="Q38" s="2">
        <f t="shared" si="8"/>
        <v>35498.963100000001</v>
      </c>
    </row>
    <row r="39" spans="1:33" x14ac:dyDescent="0.2">
      <c r="A39" t="s">
        <v>44</v>
      </c>
      <c r="B39" s="5" t="s">
        <v>45</v>
      </c>
      <c r="C39" s="16">
        <f>51502.3803+0.5</f>
        <v>51502.880299999997</v>
      </c>
      <c r="D39" s="16">
        <v>4.0000000000000001E-3</v>
      </c>
      <c r="E39">
        <f t="shared" si="6"/>
        <v>7860.3541647914672</v>
      </c>
      <c r="F39">
        <f t="shared" si="1"/>
        <v>7860.5</v>
      </c>
      <c r="G39">
        <f t="shared" si="9"/>
        <v>-0.24235247000615345</v>
      </c>
      <c r="J39">
        <f>+G39</f>
        <v>-0.24235247000615345</v>
      </c>
      <c r="O39">
        <f t="shared" ca="1" si="7"/>
        <v>-0.23922971544638622</v>
      </c>
      <c r="Q39" s="2">
        <f t="shared" si="8"/>
        <v>36484.380299999997</v>
      </c>
    </row>
    <row r="40" spans="1:33" x14ac:dyDescent="0.2">
      <c r="A40" t="s">
        <v>44</v>
      </c>
      <c r="B40" s="5" t="s">
        <v>46</v>
      </c>
      <c r="C40" s="16">
        <f>51503.1971+0.5</f>
        <v>51503.697099999998</v>
      </c>
      <c r="D40" s="16">
        <v>4.0000000000000001E-3</v>
      </c>
      <c r="E40">
        <f t="shared" si="6"/>
        <v>7860.8456728760711</v>
      </c>
      <c r="F40">
        <f t="shared" si="1"/>
        <v>7861</v>
      </c>
      <c r="G40">
        <f t="shared" si="9"/>
        <v>-0.25646454000525409</v>
      </c>
      <c r="J40">
        <f>+G40</f>
        <v>-0.25646454000525409</v>
      </c>
      <c r="O40">
        <f t="shared" ca="1" si="7"/>
        <v>-0.23924236368857243</v>
      </c>
      <c r="Q40" s="2">
        <f t="shared" si="8"/>
        <v>36485.197099999998</v>
      </c>
    </row>
    <row r="41" spans="1:33" x14ac:dyDescent="0.2">
      <c r="A41" t="s">
        <v>44</v>
      </c>
      <c r="B41" s="5" t="s">
        <v>46</v>
      </c>
      <c r="C41" s="16">
        <f>51571.3382+0.5</f>
        <v>51571.838199999998</v>
      </c>
      <c r="D41" s="16">
        <v>4.0000000000000001E-3</v>
      </c>
      <c r="E41">
        <f t="shared" si="6"/>
        <v>7901.8494700648644</v>
      </c>
      <c r="F41">
        <f t="shared" si="1"/>
        <v>7902</v>
      </c>
      <c r="G41">
        <f t="shared" si="9"/>
        <v>-0.25015428000187967</v>
      </c>
      <c r="J41">
        <f>+G41</f>
        <v>-0.25015428000187967</v>
      </c>
      <c r="O41">
        <f t="shared" ca="1" si="7"/>
        <v>-0.24027951954784102</v>
      </c>
      <c r="Q41" s="2">
        <f t="shared" si="8"/>
        <v>36553.338199999998</v>
      </c>
    </row>
    <row r="42" spans="1:33" x14ac:dyDescent="0.2">
      <c r="A42" s="7" t="s">
        <v>49</v>
      </c>
      <c r="B42" s="5"/>
      <c r="C42" s="17">
        <v>53444.696000000004</v>
      </c>
      <c r="D42" s="17">
        <v>2.0000000000000001E-4</v>
      </c>
      <c r="E42">
        <f t="shared" si="6"/>
        <v>9028.8386351157496</v>
      </c>
      <c r="F42">
        <f t="shared" si="1"/>
        <v>9029</v>
      </c>
      <c r="G42">
        <f t="shared" si="9"/>
        <v>-0.26816005999717163</v>
      </c>
      <c r="K42">
        <f>+G42</f>
        <v>-0.26816005999717163</v>
      </c>
      <c r="O42">
        <f t="shared" ca="1" si="7"/>
        <v>-0.26878865743554126</v>
      </c>
      <c r="Q42" s="2">
        <f t="shared" si="8"/>
        <v>38426.196000000004</v>
      </c>
    </row>
    <row r="43" spans="1:33" x14ac:dyDescent="0.2">
      <c r="A43" s="13" t="s">
        <v>54</v>
      </c>
      <c r="B43" s="14"/>
      <c r="C43" s="17">
        <v>53755.451699999998</v>
      </c>
      <c r="D43" s="17">
        <v>2.0999999999999999E-3</v>
      </c>
      <c r="E43">
        <f t="shared" si="6"/>
        <v>9215.8353771416496</v>
      </c>
      <c r="F43">
        <f t="shared" si="1"/>
        <v>9216</v>
      </c>
      <c r="G43">
        <f t="shared" si="9"/>
        <v>-0.27357424000365427</v>
      </c>
      <c r="L43">
        <f t="shared" ref="L43:L49" si="10">+G43</f>
        <v>-0.27357424000365427</v>
      </c>
      <c r="O43">
        <f t="shared" ca="1" si="7"/>
        <v>-0.27351910001318097</v>
      </c>
      <c r="Q43" s="2">
        <f t="shared" si="8"/>
        <v>38736.951699999998</v>
      </c>
    </row>
    <row r="44" spans="1:33" x14ac:dyDescent="0.2">
      <c r="A44" s="30" t="s">
        <v>62</v>
      </c>
      <c r="B44" s="35" t="s">
        <v>45</v>
      </c>
      <c r="C44" s="30">
        <v>54173.434500000003</v>
      </c>
      <c r="D44" s="30">
        <v>5.7000000000000002E-3</v>
      </c>
      <c r="E44">
        <f t="shared" si="6"/>
        <v>9467.3558539112346</v>
      </c>
      <c r="F44">
        <f t="shared" si="1"/>
        <v>9467.5</v>
      </c>
      <c r="G44">
        <f t="shared" si="9"/>
        <v>-0.23954544999287464</v>
      </c>
      <c r="L44">
        <f t="shared" si="10"/>
        <v>-0.23954544999287464</v>
      </c>
      <c r="O44">
        <f t="shared" ca="1" si="7"/>
        <v>-0.27988116583284078</v>
      </c>
      <c r="Q44" s="2">
        <f t="shared" si="8"/>
        <v>39154.934500000003</v>
      </c>
    </row>
    <row r="45" spans="1:33" x14ac:dyDescent="0.2">
      <c r="A45" s="36" t="s">
        <v>69</v>
      </c>
      <c r="B45" s="37" t="s">
        <v>46</v>
      </c>
      <c r="C45" s="36">
        <v>54381.950700000001</v>
      </c>
      <c r="D45" s="36">
        <v>2.0000000000000001E-4</v>
      </c>
      <c r="E45">
        <f t="shared" si="6"/>
        <v>9592.8301414612997</v>
      </c>
      <c r="F45">
        <f t="shared" si="1"/>
        <v>9593</v>
      </c>
      <c r="G45">
        <f t="shared" si="9"/>
        <v>-0.28227501999936067</v>
      </c>
      <c r="L45">
        <f t="shared" si="10"/>
        <v>-0.28227501999936067</v>
      </c>
      <c r="O45">
        <f t="shared" ca="1" si="7"/>
        <v>-0.28305587462157761</v>
      </c>
      <c r="Q45" s="2">
        <f t="shared" si="8"/>
        <v>39363.450700000001</v>
      </c>
    </row>
    <row r="46" spans="1:33" x14ac:dyDescent="0.2">
      <c r="A46" s="38" t="s">
        <v>66</v>
      </c>
      <c r="B46" s="39" t="s">
        <v>46</v>
      </c>
      <c r="C46" s="38">
        <v>54466.699399999998</v>
      </c>
      <c r="D46" s="38">
        <v>4.0000000000000002E-4</v>
      </c>
      <c r="E46">
        <f t="shared" si="6"/>
        <v>9643.8275352047767</v>
      </c>
      <c r="F46">
        <f t="shared" si="1"/>
        <v>9644</v>
      </c>
      <c r="G46">
        <f t="shared" si="9"/>
        <v>-0.286606159999792</v>
      </c>
      <c r="L46">
        <f t="shared" si="10"/>
        <v>-0.286606159999792</v>
      </c>
      <c r="O46">
        <f t="shared" ca="1" si="7"/>
        <v>-0.28434599532457028</v>
      </c>
      <c r="Q46" s="2">
        <f t="shared" si="8"/>
        <v>39448.199399999998</v>
      </c>
    </row>
    <row r="47" spans="1:33" x14ac:dyDescent="0.2">
      <c r="A47" s="30" t="s">
        <v>65</v>
      </c>
      <c r="B47" s="35" t="s">
        <v>45</v>
      </c>
      <c r="C47" s="30">
        <v>54507.421499999997</v>
      </c>
      <c r="D47" s="30">
        <v>6.6E-3</v>
      </c>
      <c r="E47">
        <f t="shared" si="6"/>
        <v>9668.3319932998438</v>
      </c>
      <c r="F47">
        <f t="shared" si="1"/>
        <v>9668.5</v>
      </c>
      <c r="G47">
        <f t="shared" si="9"/>
        <v>-0.279197590003605</v>
      </c>
      <c r="L47">
        <f t="shared" si="10"/>
        <v>-0.279197590003605</v>
      </c>
      <c r="O47">
        <f t="shared" ca="1" si="7"/>
        <v>-0.2849657591916942</v>
      </c>
      <c r="Q47" s="2">
        <f t="shared" si="8"/>
        <v>39488.921499999997</v>
      </c>
    </row>
    <row r="48" spans="1:33" x14ac:dyDescent="0.2">
      <c r="A48" s="30" t="s">
        <v>65</v>
      </c>
      <c r="B48" s="35" t="s">
        <v>45</v>
      </c>
      <c r="C48" s="30">
        <v>54532.337</v>
      </c>
      <c r="D48" s="30">
        <v>3.2000000000000002E-3</v>
      </c>
      <c r="E48">
        <f t="shared" si="6"/>
        <v>9683.3248553002722</v>
      </c>
      <c r="F48">
        <f t="shared" si="1"/>
        <v>9683.5</v>
      </c>
      <c r="G48">
        <f t="shared" si="9"/>
        <v>-0.29105969000374898</v>
      </c>
      <c r="L48">
        <f t="shared" si="10"/>
        <v>-0.29105969000374898</v>
      </c>
      <c r="O48">
        <f t="shared" ca="1" si="7"/>
        <v>-0.28534520645728023</v>
      </c>
      <c r="Q48" s="2">
        <f t="shared" si="8"/>
        <v>39513.837</v>
      </c>
    </row>
    <row r="49" spans="1:17" x14ac:dyDescent="0.2">
      <c r="A49" s="38" t="s">
        <v>66</v>
      </c>
      <c r="B49" s="39" t="s">
        <v>46</v>
      </c>
      <c r="C49" s="38">
        <v>54735.913399999998</v>
      </c>
      <c r="D49" s="38">
        <v>5.9999999999999995E-4</v>
      </c>
      <c r="E49">
        <f t="shared" si="6"/>
        <v>9805.82662615552</v>
      </c>
      <c r="F49">
        <f t="shared" si="1"/>
        <v>9806</v>
      </c>
      <c r="G49">
        <f t="shared" si="9"/>
        <v>-0.28811683999811066</v>
      </c>
      <c r="L49">
        <f t="shared" si="10"/>
        <v>-0.28811683999811066</v>
      </c>
      <c r="O49">
        <f t="shared" ca="1" si="7"/>
        <v>-0.28844402579289985</v>
      </c>
      <c r="Q49" s="2">
        <f t="shared" si="8"/>
        <v>39717.413399999998</v>
      </c>
    </row>
    <row r="50" spans="1:17" x14ac:dyDescent="0.2">
      <c r="A50" s="40" t="s">
        <v>64</v>
      </c>
      <c r="B50" s="35"/>
      <c r="C50" s="30">
        <v>54814.845000000001</v>
      </c>
      <c r="D50" s="30">
        <v>1E-3</v>
      </c>
      <c r="E50">
        <f t="shared" si="6"/>
        <v>9853.3235893420115</v>
      </c>
      <c r="F50">
        <f t="shared" si="1"/>
        <v>9853.5</v>
      </c>
      <c r="G50">
        <f t="shared" si="9"/>
        <v>-0.29316349000146147</v>
      </c>
      <c r="K50">
        <f>+G50</f>
        <v>-0.29316349000146147</v>
      </c>
      <c r="O50">
        <f t="shared" ca="1" si="7"/>
        <v>-0.28964560880058909</v>
      </c>
      <c r="Q50" s="2">
        <f t="shared" si="8"/>
        <v>39796.345000000001</v>
      </c>
    </row>
    <row r="51" spans="1:17" x14ac:dyDescent="0.2">
      <c r="A51" s="36" t="s">
        <v>64</v>
      </c>
      <c r="B51" s="37" t="s">
        <v>45</v>
      </c>
      <c r="C51" s="36">
        <v>54814.845200000003</v>
      </c>
      <c r="D51" s="36">
        <v>1E-3</v>
      </c>
      <c r="E51">
        <f t="shared" si="6"/>
        <v>9853.323709691691</v>
      </c>
      <c r="F51">
        <f t="shared" si="1"/>
        <v>9853.5</v>
      </c>
      <c r="G51">
        <f t="shared" si="9"/>
        <v>-0.29296348999923794</v>
      </c>
      <c r="L51">
        <f>+G51</f>
        <v>-0.29296348999923794</v>
      </c>
      <c r="O51">
        <f t="shared" ca="1" si="7"/>
        <v>-0.28964560880058909</v>
      </c>
      <c r="Q51" s="2">
        <f t="shared" si="8"/>
        <v>39796.345200000003</v>
      </c>
    </row>
    <row r="52" spans="1:17" x14ac:dyDescent="0.2">
      <c r="A52" s="42" t="s">
        <v>72</v>
      </c>
      <c r="B52" s="42"/>
      <c r="C52" s="43">
        <v>55578.467799999999</v>
      </c>
      <c r="D52" s="43">
        <v>1.2999999999999999E-3</v>
      </c>
      <c r="E52">
        <f t="shared" si="6"/>
        <v>10312.832379483909</v>
      </c>
      <c r="F52">
        <f t="shared" si="1"/>
        <v>10313</v>
      </c>
      <c r="G52">
        <f t="shared" si="9"/>
        <v>-0.27855581999756396</v>
      </c>
      <c r="L52">
        <f>+G52</f>
        <v>-0.27855581999756396</v>
      </c>
      <c r="O52">
        <f t="shared" ca="1" si="7"/>
        <v>-0.30126934336970906</v>
      </c>
      <c r="Q52" s="2">
        <f t="shared" si="8"/>
        <v>40559.967799999999</v>
      </c>
    </row>
    <row r="53" spans="1:17" x14ac:dyDescent="0.2">
      <c r="A53" s="36" t="s">
        <v>70</v>
      </c>
      <c r="B53" s="37" t="s">
        <v>46</v>
      </c>
      <c r="C53" s="36">
        <v>55895.854599999999</v>
      </c>
      <c r="D53" s="36">
        <v>8.0000000000000004E-4</v>
      </c>
      <c r="E53">
        <f t="shared" si="6"/>
        <v>10503.819375255916</v>
      </c>
      <c r="F53">
        <f t="shared" si="1"/>
        <v>10504</v>
      </c>
      <c r="G53">
        <f t="shared" si="9"/>
        <v>-0.30016656000225339</v>
      </c>
      <c r="L53">
        <f>+G53</f>
        <v>-0.30016656000225339</v>
      </c>
      <c r="O53">
        <f t="shared" ca="1" si="7"/>
        <v>-0.30610097188483842</v>
      </c>
      <c r="Q53" s="2">
        <f t="shared" si="8"/>
        <v>40877.354599999999</v>
      </c>
    </row>
    <row r="54" spans="1:17" x14ac:dyDescent="0.2">
      <c r="A54" s="40" t="s">
        <v>71</v>
      </c>
      <c r="B54" s="41"/>
      <c r="C54" s="30">
        <v>55945.710200000001</v>
      </c>
      <c r="D54" s="30">
        <v>2.9999999999999997E-4</v>
      </c>
      <c r="E54">
        <f t="shared" si="6"/>
        <v>10533.819902267156</v>
      </c>
      <c r="F54">
        <f t="shared" si="1"/>
        <v>10534</v>
      </c>
      <c r="G54">
        <f t="shared" si="9"/>
        <v>-0.29929075999825727</v>
      </c>
      <c r="K54">
        <f>+G54</f>
        <v>-0.29929075999825727</v>
      </c>
      <c r="O54">
        <f t="shared" ca="1" si="7"/>
        <v>-0.30685986641601054</v>
      </c>
      <c r="Q54" s="2">
        <f t="shared" si="8"/>
        <v>40927.210200000001</v>
      </c>
    </row>
    <row r="55" spans="1:17" x14ac:dyDescent="0.2">
      <c r="A55" s="41"/>
      <c r="B55" s="41"/>
      <c r="C55" s="30"/>
      <c r="D55" s="30"/>
    </row>
    <row r="56" spans="1:17" x14ac:dyDescent="0.2">
      <c r="A56" s="41"/>
      <c r="B56" s="41"/>
      <c r="C56" s="30"/>
      <c r="D56" s="30"/>
    </row>
    <row r="57" spans="1:17" x14ac:dyDescent="0.2">
      <c r="A57" s="41"/>
      <c r="B57" s="41"/>
      <c r="C57" s="30"/>
      <c r="D57" s="30"/>
    </row>
    <row r="58" spans="1:17" x14ac:dyDescent="0.2">
      <c r="A58" s="41"/>
      <c r="B58" s="41"/>
      <c r="C58" s="30"/>
      <c r="D58" s="30"/>
    </row>
    <row r="59" spans="1:17" x14ac:dyDescent="0.2">
      <c r="A59" s="41"/>
      <c r="B59" s="41"/>
      <c r="C59" s="30"/>
      <c r="D59" s="30"/>
    </row>
    <row r="60" spans="1:17" x14ac:dyDescent="0.2">
      <c r="A60" s="41"/>
      <c r="B60" s="41"/>
      <c r="C60" s="30"/>
      <c r="D60" s="30"/>
    </row>
    <row r="61" spans="1:17" x14ac:dyDescent="0.2">
      <c r="A61" s="41"/>
      <c r="B61" s="41"/>
      <c r="C61" s="30"/>
      <c r="D61" s="30"/>
    </row>
    <row r="62" spans="1:17" x14ac:dyDescent="0.2">
      <c r="A62" s="41"/>
      <c r="B62" s="41"/>
      <c r="C62" s="30"/>
      <c r="D62" s="30"/>
    </row>
    <row r="63" spans="1:17" x14ac:dyDescent="0.2">
      <c r="A63" s="41"/>
      <c r="B63" s="41"/>
      <c r="C63" s="30"/>
      <c r="D63" s="30"/>
    </row>
    <row r="64" spans="1:17" x14ac:dyDescent="0.2">
      <c r="A64" s="41"/>
      <c r="B64" s="41"/>
      <c r="C64" s="30"/>
      <c r="D64" s="30"/>
    </row>
    <row r="65" spans="1:4" x14ac:dyDescent="0.2">
      <c r="A65" s="41"/>
      <c r="B65" s="41"/>
      <c r="C65" s="30"/>
      <c r="D65" s="30"/>
    </row>
    <row r="66" spans="1:4" x14ac:dyDescent="0.2">
      <c r="A66" s="41"/>
      <c r="B66" s="41"/>
      <c r="C66" s="30"/>
      <c r="D66" s="30"/>
    </row>
    <row r="67" spans="1:4" x14ac:dyDescent="0.2">
      <c r="A67" s="41"/>
      <c r="B67" s="41"/>
      <c r="C67" s="30"/>
      <c r="D67" s="30"/>
    </row>
    <row r="68" spans="1:4" x14ac:dyDescent="0.2">
      <c r="A68" s="41"/>
      <c r="B68" s="41"/>
      <c r="C68" s="30"/>
      <c r="D68" s="30"/>
    </row>
    <row r="69" spans="1:4" x14ac:dyDescent="0.2">
      <c r="A69" s="41"/>
      <c r="B69" s="41"/>
      <c r="C69" s="30"/>
      <c r="D69" s="30"/>
    </row>
    <row r="70" spans="1:4" x14ac:dyDescent="0.2">
      <c r="A70" s="41"/>
      <c r="B70" s="41"/>
      <c r="C70" s="30"/>
      <c r="D70" s="30"/>
    </row>
    <row r="71" spans="1:4" x14ac:dyDescent="0.2">
      <c r="A71" s="41"/>
      <c r="B71" s="41"/>
      <c r="C71" s="30"/>
      <c r="D71" s="30"/>
    </row>
    <row r="72" spans="1:4" x14ac:dyDescent="0.2">
      <c r="A72" s="41"/>
      <c r="B72" s="41"/>
      <c r="C72" s="30"/>
      <c r="D72" s="30"/>
    </row>
    <row r="73" spans="1:4" x14ac:dyDescent="0.2">
      <c r="A73" s="41"/>
      <c r="B73" s="41"/>
      <c r="C73" s="30"/>
      <c r="D73" s="30"/>
    </row>
    <row r="74" spans="1:4" x14ac:dyDescent="0.2">
      <c r="A74" s="41"/>
      <c r="B74" s="41"/>
      <c r="C74" s="30"/>
      <c r="D74" s="30"/>
    </row>
    <row r="75" spans="1:4" x14ac:dyDescent="0.2">
      <c r="A75" s="41"/>
      <c r="B75" s="41"/>
      <c r="C75" s="30"/>
      <c r="D75" s="30"/>
    </row>
    <row r="76" spans="1:4" x14ac:dyDescent="0.2">
      <c r="A76" s="41"/>
      <c r="B76" s="41"/>
      <c r="C76" s="30"/>
      <c r="D76" s="30"/>
    </row>
    <row r="77" spans="1:4" x14ac:dyDescent="0.2">
      <c r="A77" s="41"/>
      <c r="B77" s="41"/>
      <c r="C77" s="30"/>
      <c r="D77" s="30"/>
    </row>
    <row r="78" spans="1:4" x14ac:dyDescent="0.2">
      <c r="A78" s="41"/>
      <c r="B78" s="41"/>
      <c r="C78" s="30"/>
      <c r="D78" s="30"/>
    </row>
    <row r="79" spans="1:4" x14ac:dyDescent="0.2">
      <c r="A79" s="41"/>
      <c r="B79" s="41"/>
      <c r="C79" s="30"/>
      <c r="D79" s="30"/>
    </row>
    <row r="80" spans="1:4" x14ac:dyDescent="0.2">
      <c r="A80" s="41"/>
      <c r="B80" s="41"/>
      <c r="C80" s="30"/>
      <c r="D80" s="30"/>
    </row>
    <row r="81" spans="1:4" x14ac:dyDescent="0.2">
      <c r="A81" s="41"/>
      <c r="B81" s="41"/>
      <c r="C81" s="30"/>
      <c r="D81" s="30"/>
    </row>
    <row r="82" spans="1:4" x14ac:dyDescent="0.2">
      <c r="A82" s="41"/>
      <c r="B82" s="41"/>
      <c r="C82" s="30"/>
      <c r="D82" s="30"/>
    </row>
    <row r="83" spans="1:4" x14ac:dyDescent="0.2">
      <c r="A83" s="41"/>
      <c r="B83" s="41"/>
      <c r="C83" s="30"/>
      <c r="D83" s="30"/>
    </row>
    <row r="84" spans="1:4" x14ac:dyDescent="0.2">
      <c r="A84" s="41"/>
      <c r="B84" s="41"/>
      <c r="C84" s="30"/>
      <c r="D84" s="30"/>
    </row>
    <row r="85" spans="1:4" x14ac:dyDescent="0.2">
      <c r="A85" s="41"/>
      <c r="B85" s="41"/>
      <c r="C85" s="30"/>
      <c r="D85" s="30"/>
    </row>
    <row r="86" spans="1:4" x14ac:dyDescent="0.2">
      <c r="A86" s="41"/>
      <c r="B86" s="41"/>
      <c r="C86" s="30"/>
      <c r="D86" s="30"/>
    </row>
    <row r="87" spans="1:4" x14ac:dyDescent="0.2">
      <c r="A87" s="41"/>
      <c r="B87" s="41"/>
      <c r="C87" s="30"/>
      <c r="D87" s="30"/>
    </row>
    <row r="88" spans="1:4" x14ac:dyDescent="0.2">
      <c r="A88" s="41"/>
      <c r="B88" s="41"/>
      <c r="C88" s="30"/>
      <c r="D88" s="30"/>
    </row>
    <row r="89" spans="1:4" x14ac:dyDescent="0.2">
      <c r="A89" s="41"/>
      <c r="B89" s="41"/>
      <c r="C89" s="30"/>
      <c r="D89" s="30"/>
    </row>
    <row r="90" spans="1:4" x14ac:dyDescent="0.2">
      <c r="A90" s="41"/>
      <c r="B90" s="41"/>
      <c r="C90" s="30"/>
      <c r="D90" s="30"/>
    </row>
    <row r="91" spans="1:4" x14ac:dyDescent="0.2">
      <c r="A91" s="41"/>
      <c r="B91" s="41"/>
      <c r="C91" s="30"/>
      <c r="D91" s="30"/>
    </row>
    <row r="92" spans="1:4" x14ac:dyDescent="0.2">
      <c r="A92" s="41"/>
      <c r="B92" s="41"/>
      <c r="C92" s="30"/>
      <c r="D92" s="30"/>
    </row>
    <row r="93" spans="1:4" x14ac:dyDescent="0.2">
      <c r="A93" s="41"/>
      <c r="B93" s="41"/>
      <c r="C93" s="30"/>
      <c r="D93" s="30"/>
    </row>
    <row r="94" spans="1:4" x14ac:dyDescent="0.2">
      <c r="A94" s="41"/>
      <c r="B94" s="41"/>
      <c r="C94" s="30"/>
      <c r="D94" s="30"/>
    </row>
    <row r="95" spans="1:4" x14ac:dyDescent="0.2">
      <c r="A95" s="41"/>
      <c r="B95" s="41"/>
      <c r="C95" s="30"/>
      <c r="D95" s="30"/>
    </row>
    <row r="96" spans="1:4" x14ac:dyDescent="0.2">
      <c r="A96" s="41"/>
      <c r="B96" s="41"/>
      <c r="C96" s="30"/>
      <c r="D96" s="30"/>
    </row>
    <row r="97" spans="1:4" x14ac:dyDescent="0.2">
      <c r="A97" s="41"/>
      <c r="B97" s="41"/>
      <c r="C97" s="30"/>
      <c r="D97" s="30"/>
    </row>
    <row r="98" spans="1:4" x14ac:dyDescent="0.2">
      <c r="A98" s="41"/>
      <c r="B98" s="41"/>
      <c r="C98" s="30"/>
      <c r="D98" s="30"/>
    </row>
    <row r="99" spans="1:4" x14ac:dyDescent="0.2">
      <c r="A99" s="41"/>
      <c r="B99" s="41"/>
      <c r="C99" s="30"/>
      <c r="D99" s="30"/>
    </row>
    <row r="100" spans="1:4" x14ac:dyDescent="0.2">
      <c r="A100" s="41"/>
      <c r="B100" s="41"/>
      <c r="C100" s="30"/>
      <c r="D100" s="30"/>
    </row>
    <row r="101" spans="1:4" x14ac:dyDescent="0.2">
      <c r="A101" s="41"/>
      <c r="B101" s="41"/>
      <c r="C101" s="30"/>
      <c r="D101" s="30"/>
    </row>
    <row r="102" spans="1:4" x14ac:dyDescent="0.2">
      <c r="A102" s="41"/>
      <c r="B102" s="41"/>
      <c r="C102" s="30"/>
      <c r="D102" s="30"/>
    </row>
    <row r="103" spans="1:4" x14ac:dyDescent="0.2">
      <c r="A103" s="41"/>
      <c r="B103" s="41"/>
      <c r="C103" s="30"/>
      <c r="D103" s="30"/>
    </row>
    <row r="104" spans="1:4" x14ac:dyDescent="0.2">
      <c r="A104" s="41"/>
      <c r="B104" s="41"/>
      <c r="C104" s="30"/>
      <c r="D104" s="30"/>
    </row>
    <row r="105" spans="1:4" x14ac:dyDescent="0.2">
      <c r="A105" s="41"/>
      <c r="B105" s="41"/>
      <c r="C105" s="30"/>
      <c r="D105" s="30"/>
    </row>
    <row r="106" spans="1:4" x14ac:dyDescent="0.2">
      <c r="A106" s="41"/>
      <c r="B106" s="41"/>
      <c r="C106" s="30"/>
      <c r="D106" s="30"/>
    </row>
    <row r="107" spans="1:4" x14ac:dyDescent="0.2">
      <c r="A107" s="41"/>
      <c r="B107" s="41"/>
      <c r="C107" s="30"/>
      <c r="D107" s="30"/>
    </row>
    <row r="108" spans="1:4" x14ac:dyDescent="0.2">
      <c r="A108" s="41"/>
      <c r="B108" s="41"/>
      <c r="C108" s="30"/>
      <c r="D108" s="30"/>
    </row>
    <row r="109" spans="1:4" x14ac:dyDescent="0.2">
      <c r="A109" s="41"/>
      <c r="B109" s="41"/>
      <c r="C109" s="30"/>
      <c r="D109" s="30"/>
    </row>
    <row r="110" spans="1:4" x14ac:dyDescent="0.2">
      <c r="A110" s="41"/>
      <c r="B110" s="41"/>
      <c r="C110" s="30"/>
      <c r="D110" s="30"/>
    </row>
    <row r="111" spans="1:4" x14ac:dyDescent="0.2">
      <c r="A111" s="41"/>
      <c r="B111" s="41"/>
      <c r="C111" s="30"/>
      <c r="D111" s="30"/>
    </row>
    <row r="112" spans="1:4" x14ac:dyDescent="0.2">
      <c r="A112" s="41"/>
      <c r="B112" s="41"/>
      <c r="C112" s="30"/>
      <c r="D112" s="30"/>
    </row>
    <row r="113" spans="1:4" x14ac:dyDescent="0.2">
      <c r="A113" s="41"/>
      <c r="B113" s="41"/>
      <c r="C113" s="30"/>
      <c r="D113" s="30"/>
    </row>
    <row r="114" spans="1:4" x14ac:dyDescent="0.2">
      <c r="C114" s="15"/>
      <c r="D114" s="15"/>
    </row>
    <row r="115" spans="1:4" x14ac:dyDescent="0.2">
      <c r="C115" s="15"/>
      <c r="D115" s="15"/>
    </row>
    <row r="116" spans="1:4" x14ac:dyDescent="0.2">
      <c r="C116" s="15"/>
      <c r="D116" s="15"/>
    </row>
    <row r="117" spans="1:4" x14ac:dyDescent="0.2">
      <c r="C117" s="15"/>
      <c r="D117" s="15"/>
    </row>
    <row r="118" spans="1:4" x14ac:dyDescent="0.2">
      <c r="C118" s="15"/>
      <c r="D118" s="15"/>
    </row>
    <row r="119" spans="1:4" x14ac:dyDescent="0.2">
      <c r="C119" s="15"/>
      <c r="D119" s="15"/>
    </row>
    <row r="120" spans="1:4" x14ac:dyDescent="0.2">
      <c r="C120" s="15"/>
      <c r="D120" s="15"/>
    </row>
    <row r="121" spans="1:4" x14ac:dyDescent="0.2">
      <c r="C121" s="15"/>
      <c r="D121" s="15"/>
    </row>
    <row r="122" spans="1:4" x14ac:dyDescent="0.2">
      <c r="C122" s="15"/>
      <c r="D122" s="15"/>
    </row>
    <row r="123" spans="1:4" x14ac:dyDescent="0.2">
      <c r="C123" s="15"/>
      <c r="D123" s="15"/>
    </row>
    <row r="124" spans="1:4" x14ac:dyDescent="0.2">
      <c r="C124" s="15"/>
      <c r="D124" s="15"/>
    </row>
    <row r="125" spans="1:4" x14ac:dyDescent="0.2">
      <c r="C125" s="15"/>
      <c r="D125" s="15"/>
    </row>
    <row r="126" spans="1:4" x14ac:dyDescent="0.2">
      <c r="C126" s="15"/>
      <c r="D126" s="15"/>
    </row>
    <row r="127" spans="1:4" x14ac:dyDescent="0.2">
      <c r="C127" s="15"/>
      <c r="D127" s="15"/>
    </row>
    <row r="128" spans="1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2023-12-31T04:58:19Z</dcterms:modified>
</cp:coreProperties>
</file>