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25703E4-C76C-4B79-97EC-409DC530F468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2" r:id="rId1"/>
    <sheet name="BAV" sheetId="3" r:id="rId2"/>
  </sheets>
  <calcPr calcId="181029"/>
</workbook>
</file>

<file path=xl/calcChain.xml><?xml version="1.0" encoding="utf-8"?>
<calcChain xmlns="http://schemas.openxmlformats.org/spreadsheetml/2006/main">
  <c r="E66" i="2" l="1"/>
  <c r="F66" i="2" s="1"/>
  <c r="G66" i="2" s="1"/>
  <c r="K66" i="2" s="1"/>
  <c r="Q66" i="2"/>
  <c r="Q56" i="2"/>
  <c r="D9" i="2"/>
  <c r="C9" i="2"/>
  <c r="Q53" i="2"/>
  <c r="Q52" i="2"/>
  <c r="Q50" i="2"/>
  <c r="Q48" i="2"/>
  <c r="Q47" i="2"/>
  <c r="Q46" i="2"/>
  <c r="Q45" i="2"/>
  <c r="Q44" i="2"/>
  <c r="Q43" i="2"/>
  <c r="Q42" i="2"/>
  <c r="Q41" i="2"/>
  <c r="Q40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1" i="2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53" i="3"/>
  <c r="C53" i="3"/>
  <c r="G15" i="3"/>
  <c r="C15" i="3"/>
  <c r="G14" i="3"/>
  <c r="C14" i="3"/>
  <c r="G52" i="3"/>
  <c r="C52" i="3"/>
  <c r="G51" i="3"/>
  <c r="C51" i="3"/>
  <c r="G13" i="3"/>
  <c r="C13" i="3"/>
  <c r="G50" i="3"/>
  <c r="C50" i="3"/>
  <c r="G12" i="3"/>
  <c r="C12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11" i="3"/>
  <c r="C1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53" i="3"/>
  <c r="D53" i="3"/>
  <c r="B53" i="3"/>
  <c r="A53" i="3"/>
  <c r="H15" i="3"/>
  <c r="B15" i="3"/>
  <c r="D15" i="3"/>
  <c r="A15" i="3"/>
  <c r="H14" i="3"/>
  <c r="D14" i="3"/>
  <c r="B14" i="3"/>
  <c r="A14" i="3"/>
  <c r="H52" i="3"/>
  <c r="B52" i="3"/>
  <c r="D52" i="3"/>
  <c r="A52" i="3"/>
  <c r="H51" i="3"/>
  <c r="D51" i="3"/>
  <c r="B51" i="3"/>
  <c r="A51" i="3"/>
  <c r="H13" i="3"/>
  <c r="B13" i="3"/>
  <c r="D13" i="3"/>
  <c r="A13" i="3"/>
  <c r="H50" i="3"/>
  <c r="D50" i="3"/>
  <c r="B50" i="3"/>
  <c r="A50" i="3"/>
  <c r="H12" i="3"/>
  <c r="B12" i="3"/>
  <c r="D12" i="3"/>
  <c r="A12" i="3"/>
  <c r="H49" i="3"/>
  <c r="D49" i="3"/>
  <c r="B49" i="3"/>
  <c r="A49" i="3"/>
  <c r="H48" i="3"/>
  <c r="B48" i="3"/>
  <c r="D48" i="3"/>
  <c r="A48" i="3"/>
  <c r="H47" i="3"/>
  <c r="D47" i="3"/>
  <c r="B47" i="3"/>
  <c r="A47" i="3"/>
  <c r="H46" i="3"/>
  <c r="B46" i="3"/>
  <c r="D46" i="3"/>
  <c r="A46" i="3"/>
  <c r="H45" i="3"/>
  <c r="D45" i="3"/>
  <c r="B45" i="3"/>
  <c r="A45" i="3"/>
  <c r="H44" i="3"/>
  <c r="B44" i="3"/>
  <c r="D44" i="3"/>
  <c r="A44" i="3"/>
  <c r="H43" i="3"/>
  <c r="D43" i="3"/>
  <c r="B43" i="3"/>
  <c r="A43" i="3"/>
  <c r="H42" i="3"/>
  <c r="B42" i="3"/>
  <c r="D42" i="3"/>
  <c r="A42" i="3"/>
  <c r="H41" i="3"/>
  <c r="D41" i="3"/>
  <c r="B41" i="3"/>
  <c r="A41" i="3"/>
  <c r="H11" i="3"/>
  <c r="B11" i="3"/>
  <c r="D11" i="3"/>
  <c r="A11" i="3"/>
  <c r="H40" i="3"/>
  <c r="D40" i="3"/>
  <c r="B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Q58" i="2"/>
  <c r="Q65" i="2"/>
  <c r="Q64" i="2"/>
  <c r="Q63" i="2"/>
  <c r="Q62" i="2"/>
  <c r="Q61" i="2"/>
  <c r="Q60" i="2"/>
  <c r="Q57" i="2"/>
  <c r="C7" i="2"/>
  <c r="C8" i="2"/>
  <c r="Q59" i="2"/>
  <c r="F16" i="2"/>
  <c r="F17" i="2" s="1"/>
  <c r="C17" i="2"/>
  <c r="Q54" i="2"/>
  <c r="Q55" i="2"/>
  <c r="Q22" i="2"/>
  <c r="Q39" i="2"/>
  <c r="Q49" i="2"/>
  <c r="Q51" i="2"/>
  <c r="E24" i="3"/>
  <c r="E12" i="3"/>
  <c r="E20" i="3"/>
  <c r="E53" i="3"/>
  <c r="E21" i="3"/>
  <c r="E41" i="3"/>
  <c r="E22" i="3"/>
  <c r="E32" i="3"/>
  <c r="E27" i="3"/>
  <c r="E23" i="3"/>
  <c r="E33" i="3"/>
  <c r="E37" i="3"/>
  <c r="E39" i="3"/>
  <c r="E49" i="3"/>
  <c r="E29" i="2"/>
  <c r="F29" i="2"/>
  <c r="G31" i="2"/>
  <c r="I31" i="2"/>
  <c r="E37" i="2"/>
  <c r="F37" i="2"/>
  <c r="E46" i="2"/>
  <c r="F46" i="2"/>
  <c r="G46" i="2"/>
  <c r="I46" i="2"/>
  <c r="G48" i="2"/>
  <c r="I48" i="2"/>
  <c r="E61" i="2"/>
  <c r="F61" i="2"/>
  <c r="E24" i="2"/>
  <c r="F24" i="2"/>
  <c r="G24" i="2"/>
  <c r="I24" i="2"/>
  <c r="E32" i="2"/>
  <c r="F32" i="2"/>
  <c r="E41" i="2"/>
  <c r="F41" i="2"/>
  <c r="G41" i="2"/>
  <c r="I41" i="2"/>
  <c r="G43" i="2"/>
  <c r="I43" i="2"/>
  <c r="E50" i="2"/>
  <c r="E59" i="2"/>
  <c r="E64" i="2"/>
  <c r="F64" i="2"/>
  <c r="E27" i="2"/>
  <c r="F27" i="2"/>
  <c r="G27" i="2"/>
  <c r="I27" i="2"/>
  <c r="G29" i="2"/>
  <c r="I29" i="2"/>
  <c r="E35" i="2"/>
  <c r="F35" i="2"/>
  <c r="G37" i="2"/>
  <c r="I37" i="2"/>
  <c r="E44" i="2"/>
  <c r="F44" i="2"/>
  <c r="E56" i="2"/>
  <c r="F56" i="2"/>
  <c r="E39" i="2"/>
  <c r="F39" i="2"/>
  <c r="G39" i="2"/>
  <c r="I39" i="2"/>
  <c r="E57" i="2"/>
  <c r="F57" i="2"/>
  <c r="G57" i="2"/>
  <c r="K57" i="2"/>
  <c r="G61" i="2"/>
  <c r="K61" i="2"/>
  <c r="E21" i="2"/>
  <c r="F21" i="2"/>
  <c r="E30" i="2"/>
  <c r="F30" i="2"/>
  <c r="G32" i="2"/>
  <c r="I32" i="2"/>
  <c r="E38" i="2"/>
  <c r="F38" i="2"/>
  <c r="E47" i="2"/>
  <c r="F47" i="2"/>
  <c r="G47" i="2"/>
  <c r="I47" i="2"/>
  <c r="E62" i="2"/>
  <c r="F62" i="2"/>
  <c r="G64" i="2"/>
  <c r="K64" i="2"/>
  <c r="E22" i="2"/>
  <c r="E26" i="2"/>
  <c r="G36" i="2"/>
  <c r="I36" i="2"/>
  <c r="E43" i="2"/>
  <c r="F43" i="2"/>
  <c r="G60" i="2"/>
  <c r="K60" i="2"/>
  <c r="E25" i="2"/>
  <c r="F25" i="2"/>
  <c r="E33" i="2"/>
  <c r="F33" i="2"/>
  <c r="G33" i="2"/>
  <c r="I33" i="2"/>
  <c r="G35" i="2"/>
  <c r="I35" i="2"/>
  <c r="E42" i="2"/>
  <c r="G44" i="2"/>
  <c r="I44" i="2"/>
  <c r="E52" i="2"/>
  <c r="F52" i="2"/>
  <c r="G56" i="2"/>
  <c r="K56" i="2"/>
  <c r="E65" i="2"/>
  <c r="F65" i="2"/>
  <c r="E58" i="2"/>
  <c r="F58" i="2"/>
  <c r="G21" i="2"/>
  <c r="I21" i="2"/>
  <c r="E28" i="2"/>
  <c r="F28" i="2"/>
  <c r="G28" i="2"/>
  <c r="I28" i="2"/>
  <c r="G30" i="2"/>
  <c r="I30" i="2"/>
  <c r="E36" i="2"/>
  <c r="F36" i="2"/>
  <c r="G38" i="2"/>
  <c r="I38" i="2"/>
  <c r="E45" i="2"/>
  <c r="F45" i="2"/>
  <c r="G45" i="2"/>
  <c r="I45" i="2"/>
  <c r="U22" i="2"/>
  <c r="E60" i="2"/>
  <c r="F60" i="2"/>
  <c r="G62" i="2"/>
  <c r="K62" i="2"/>
  <c r="E23" i="2"/>
  <c r="F23" i="2"/>
  <c r="G23" i="2"/>
  <c r="G25" i="2"/>
  <c r="I25" i="2"/>
  <c r="E31" i="2"/>
  <c r="F31" i="2"/>
  <c r="E40" i="2"/>
  <c r="F40" i="2"/>
  <c r="G40" i="2"/>
  <c r="I40" i="2"/>
  <c r="E48" i="2"/>
  <c r="F48" i="2"/>
  <c r="G52" i="2"/>
  <c r="K52" i="2"/>
  <c r="E55" i="2"/>
  <c r="F55" i="2"/>
  <c r="G55" i="2"/>
  <c r="K55" i="2"/>
  <c r="G65" i="2"/>
  <c r="K65" i="2"/>
  <c r="E63" i="2"/>
  <c r="F63" i="2"/>
  <c r="G63" i="2"/>
  <c r="K63" i="2"/>
  <c r="G58" i="2"/>
  <c r="K58" i="2"/>
  <c r="E34" i="2"/>
  <c r="E53" i="2"/>
  <c r="F53" i="2"/>
  <c r="G53" i="2"/>
  <c r="I53" i="2"/>
  <c r="E49" i="2"/>
  <c r="F49" i="2"/>
  <c r="G49" i="2"/>
  <c r="J49" i="2"/>
  <c r="E54" i="2"/>
  <c r="F54" i="2"/>
  <c r="G54" i="2"/>
  <c r="K54" i="2"/>
  <c r="E51" i="2"/>
  <c r="F51" i="2"/>
  <c r="E35" i="3"/>
  <c r="E40" i="3"/>
  <c r="E19" i="3"/>
  <c r="I23" i="2"/>
  <c r="E15" i="3"/>
  <c r="E16" i="3"/>
  <c r="E44" i="3"/>
  <c r="F42" i="2"/>
  <c r="G42" i="2"/>
  <c r="I42" i="2"/>
  <c r="E43" i="3"/>
  <c r="F26" i="2"/>
  <c r="G26" i="2"/>
  <c r="E28" i="3"/>
  <c r="E34" i="3"/>
  <c r="E51" i="3"/>
  <c r="E13" i="3"/>
  <c r="E45" i="3"/>
  <c r="F34" i="2"/>
  <c r="G34" i="2"/>
  <c r="I34" i="2"/>
  <c r="E36" i="3"/>
  <c r="E17" i="3"/>
  <c r="F59" i="2"/>
  <c r="G59" i="2"/>
  <c r="J59" i="2"/>
  <c r="E48" i="3"/>
  <c r="E46" i="3"/>
  <c r="E30" i="3"/>
  <c r="E14" i="3"/>
  <c r="E18" i="3"/>
  <c r="E29" i="3"/>
  <c r="E52" i="3"/>
  <c r="E47" i="3"/>
  <c r="E31" i="3"/>
  <c r="E11" i="3"/>
  <c r="E50" i="3"/>
  <c r="F50" i="2"/>
  <c r="G50" i="2"/>
  <c r="K50" i="2"/>
  <c r="E38" i="3"/>
  <c r="E42" i="3"/>
  <c r="E26" i="3"/>
  <c r="E25" i="3"/>
  <c r="I26" i="2"/>
  <c r="C11" i="2"/>
  <c r="C12" i="2"/>
  <c r="O66" i="2" l="1"/>
  <c r="C16" i="2"/>
  <c r="D18" i="2" s="1"/>
  <c r="O33" i="2"/>
  <c r="O48" i="2"/>
  <c r="O60" i="2"/>
  <c r="O34" i="2"/>
  <c r="O25" i="2"/>
  <c r="O35" i="2"/>
  <c r="O49" i="2"/>
  <c r="O55" i="2"/>
  <c r="O29" i="2"/>
  <c r="O28" i="2"/>
  <c r="O41" i="2"/>
  <c r="O36" i="2"/>
  <c r="O21" i="2"/>
  <c r="O65" i="2"/>
  <c r="O47" i="2"/>
  <c r="O27" i="2"/>
  <c r="O31" i="2"/>
  <c r="O46" i="2"/>
  <c r="O22" i="2"/>
  <c r="O30" i="2"/>
  <c r="O61" i="2"/>
  <c r="O59" i="2"/>
  <c r="O45" i="2"/>
  <c r="O38" i="2"/>
  <c r="O63" i="2"/>
  <c r="O23" i="2"/>
  <c r="O37" i="2"/>
  <c r="O57" i="2"/>
  <c r="O64" i="2"/>
  <c r="O52" i="2"/>
  <c r="O58" i="2"/>
  <c r="O62" i="2"/>
  <c r="O32" i="2"/>
  <c r="O53" i="2"/>
  <c r="O54" i="2"/>
  <c r="O42" i="2"/>
  <c r="O56" i="2"/>
  <c r="O51" i="2"/>
  <c r="O24" i="2"/>
  <c r="O43" i="2"/>
  <c r="O39" i="2"/>
  <c r="O44" i="2"/>
  <c r="C15" i="2"/>
  <c r="O40" i="2"/>
  <c r="O26" i="2"/>
  <c r="O50" i="2"/>
  <c r="C18" i="2" l="1"/>
  <c r="F18" i="2"/>
  <c r="F19" i="2" s="1"/>
</calcChain>
</file>

<file path=xl/sharedStrings.xml><?xml version="1.0" encoding="utf-8"?>
<sst xmlns="http://schemas.openxmlformats.org/spreadsheetml/2006/main" count="507" uniqueCount="241">
  <si>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</si>
  <si>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</si>
  <si>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</si>
  <si>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</si>
  <si>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</si>
  <si>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</si>
  <si>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</si>
  <si>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</si>
  <si>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</si>
  <si>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</si>
  <si>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</si>
  <si>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</si>
  <si>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</si>
  <si>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</si>
  <si>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</si>
  <si>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</si>
  <si>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</si>
  <si>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</si>
  <si>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</si>
  <si>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</si>
  <si>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</si>
  <si>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</si>
  <si>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</si>
  <si>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</si>
  <si>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</si>
  <si>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</si>
  <si>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</si>
  <si>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</si>
  <si>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Paschke A</t>
  </si>
  <si>
    <t>BBSAG Bull.91</t>
  </si>
  <si>
    <t>B</t>
  </si>
  <si>
    <t>Blaettler E</t>
  </si>
  <si>
    <t>BBSAG Bull.111</t>
  </si>
  <si>
    <t>EA/sd</t>
  </si>
  <si>
    <t>IBVS 5287</t>
  </si>
  <si>
    <t>I</t>
  </si>
  <si>
    <t># of data points:</t>
  </si>
  <si>
    <t>CW Gem / GSC 01341-00105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</si>
  <si>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</si>
  <si>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</si>
  <si>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</si>
  <si>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</si>
  <si>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</si>
  <si>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</si>
  <si>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</si>
  <si>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OEJV 0074</t>
  </si>
  <si>
    <t>Add cycle</t>
  </si>
  <si>
    <t>Old Cycle</t>
  </si>
  <si>
    <t>IBVS 5992</t>
  </si>
  <si>
    <t>OEJV 0160</t>
  </si>
  <si>
    <t>II</t>
  </si>
  <si>
    <t>IBVS 6118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</si>
  <si>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</si>
  <si>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</si>
  <si>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</si>
  <si>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</si>
  <si>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</si>
  <si>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</si>
  <si>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</si>
  <si>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</si>
  <si>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</si>
  <si>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</si>
  <si>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</si>
  <si>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</si>
  <si>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</si>
  <si>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2428126.39 </t>
  </si>
  <si>
    <t> 19.11.1935 21:21 </t>
  </si>
  <si>
    <t> -0.06 </t>
  </si>
  <si>
    <t>P </t>
  </si>
  <si>
    <t> C.Hoffmeister </t>
  </si>
  <si>
    <t> VSS 1.110 </t>
  </si>
  <si>
    <t>2428453.63 </t>
  </si>
  <si>
    <t> 12.10.1936 03:07 </t>
  </si>
  <si>
    <t>2428495.69 </t>
  </si>
  <si>
    <t> 23.11.1936 04:33 </t>
  </si>
  <si>
    <t> 0.05 </t>
  </si>
  <si>
    <t>2428950.34 </t>
  </si>
  <si>
    <t> 20.02.1938 20:09 </t>
  </si>
  <si>
    <t> -0.08 </t>
  </si>
  <si>
    <t>2429163.59 </t>
  </si>
  <si>
    <t> 22.09.1938 02:09 </t>
  </si>
  <si>
    <t> 0.04 </t>
  </si>
  <si>
    <t>2429168.58 </t>
  </si>
  <si>
    <t> 27.09.1938 01:55 </t>
  </si>
  <si>
    <t> 0.00 </t>
  </si>
  <si>
    <t>2429289.38 </t>
  </si>
  <si>
    <t> 25.01.1939 21:07 </t>
  </si>
  <si>
    <t> -0.03 </t>
  </si>
  <si>
    <t>2429316.32 </t>
  </si>
  <si>
    <t> 21.02.1939 19:40 </t>
  </si>
  <si>
    <t> 0.06 </t>
  </si>
  <si>
    <t>2429638.45 </t>
  </si>
  <si>
    <t> 09.01.1940 22:48 </t>
  </si>
  <si>
    <t> -0.01 </t>
  </si>
  <si>
    <t>2430346.65 </t>
  </si>
  <si>
    <t> 18.12.1941 03:36 </t>
  </si>
  <si>
    <t> 0.01 </t>
  </si>
  <si>
    <t>2430378.54 </t>
  </si>
  <si>
    <t> 19.01.1942 00:57 </t>
  </si>
  <si>
    <t> 0.02 </t>
  </si>
  <si>
    <t>2431145.46 </t>
  </si>
  <si>
    <t> 24.02.1944 23:02 </t>
  </si>
  <si>
    <t>2446851.432 </t>
  </si>
  <si>
    <t> 24.02.1987 22:22 </t>
  </si>
  <si>
    <t> 0.207 </t>
  </si>
  <si>
    <t>V </t>
  </si>
  <si>
    <t> V.Wagner </t>
  </si>
  <si>
    <t> BRNO 30 </t>
  </si>
  <si>
    <t>2447470.640 </t>
  </si>
  <si>
    <t> 05.11.1988 03:21 </t>
  </si>
  <si>
    <t> 0.178 </t>
  </si>
  <si>
    <t> A.Dedoch </t>
  </si>
  <si>
    <t>2447554.54 </t>
  </si>
  <si>
    <t> 28.01.1989 00:57 </t>
  </si>
  <si>
    <t> 0.17 </t>
  </si>
  <si>
    <t> Moschner&amp;Kleikamp </t>
  </si>
  <si>
    <t> BAVR 38.70 </t>
  </si>
  <si>
    <t>2447571.337 </t>
  </si>
  <si>
    <t> 13.02.1989 20:05 </t>
  </si>
  <si>
    <t> 0.186 </t>
  </si>
  <si>
    <t>2447571.342 </t>
  </si>
  <si>
    <t> 13.02.1989 20:12 </t>
  </si>
  <si>
    <t> 0.191 </t>
  </si>
  <si>
    <t> J.Borovicka </t>
  </si>
  <si>
    <t>2447613.32 </t>
  </si>
  <si>
    <t> 27.03.1989 19:40 </t>
  </si>
  <si>
    <t> 0.22 </t>
  </si>
  <si>
    <t> A.Paschke </t>
  </si>
  <si>
    <t> BBS 91 </t>
  </si>
  <si>
    <t>2447804.610 </t>
  </si>
  <si>
    <t> 05.10.1989 02:38 </t>
  </si>
  <si>
    <t> 0.197 </t>
  </si>
  <si>
    <t>BAVM 56 </t>
  </si>
  <si>
    <t>2447863.333 </t>
  </si>
  <si>
    <t> 02.12.1989 19:59 </t>
  </si>
  <si>
    <t> 0.184 </t>
  </si>
  <si>
    <t>2447925.418 </t>
  </si>
  <si>
    <t> 02.02.1990 22:01 </t>
  </si>
  <si>
    <t>2447967.378 </t>
  </si>
  <si>
    <t> 16.03.1990 21:04 </t>
  </si>
  <si>
    <t>2448306.361 </t>
  </si>
  <si>
    <t> 18.02.1991 20:39 </t>
  </si>
  <si>
    <t> 0.181 </t>
  </si>
  <si>
    <t>BAVM 68 </t>
  </si>
  <si>
    <t>2448645.342 </t>
  </si>
  <si>
    <t> 23.01.1992 20:12 </t>
  </si>
  <si>
    <t> 0.176 </t>
  </si>
  <si>
    <t> W.Moschner </t>
  </si>
  <si>
    <t>BAVM 62 </t>
  </si>
  <si>
    <t>2448650.381 </t>
  </si>
  <si>
    <t> 28.01.1992 21:08 </t>
  </si>
  <si>
    <t>2448989.380 </t>
  </si>
  <si>
    <t> 01.01.1993 21:07 </t>
  </si>
  <si>
    <t> 0.194 </t>
  </si>
  <si>
    <t>2450046.6150 </t>
  </si>
  <si>
    <t> 25.11.1995 02:45 </t>
  </si>
  <si>
    <t> 0.1958 </t>
  </si>
  <si>
    <t> BRNO 32 </t>
  </si>
  <si>
    <t>2450152.3448 </t>
  </si>
  <si>
    <t> 09.03.1996 20:16 </t>
  </si>
  <si>
    <t> 0.2023 </t>
  </si>
  <si>
    <t>E </t>
  </si>
  <si>
    <t>?</t>
  </si>
  <si>
    <t> E.Blättler </t>
  </si>
  <si>
    <t> BBS 111 </t>
  </si>
  <si>
    <t>2451585.4954 </t>
  </si>
  <si>
    <t> 10.02.2000 23:53 </t>
  </si>
  <si>
    <t> 0.2145 </t>
  </si>
  <si>
    <t> J.Safar </t>
  </si>
  <si>
    <t>2451850.4584 </t>
  </si>
  <si>
    <t> 01.11.2000 23:00 </t>
  </si>
  <si>
    <t> 0.0301 </t>
  </si>
  <si>
    <t> M.Zejda </t>
  </si>
  <si>
    <t>IBVS 5287 </t>
  </si>
  <si>
    <t>2451951.3324 </t>
  </si>
  <si>
    <t> 10.02.2001 19:58 </t>
  </si>
  <si>
    <t> 0.2152 </t>
  </si>
  <si>
    <t> R.Diethelm </t>
  </si>
  <si>
    <t> BBS 124 </t>
  </si>
  <si>
    <t>2452253.401 </t>
  </si>
  <si>
    <t> 09.12.2001 21:37 </t>
  </si>
  <si>
    <t> 0.217 </t>
  </si>
  <si>
    <t> BBS 127 </t>
  </si>
  <si>
    <t>2452320.52802 </t>
  </si>
  <si>
    <t> 15.02.2002 00:40 </t>
  </si>
  <si>
    <t> 0.21830 </t>
  </si>
  <si>
    <t>C </t>
  </si>
  <si>
    <t>o</t>
  </si>
  <si>
    <t> J.Šafár </t>
  </si>
  <si>
    <t>OEJV 0074 </t>
  </si>
  <si>
    <t>2454092.6818 </t>
  </si>
  <si>
    <t> 23.12.2006 04:21 </t>
  </si>
  <si>
    <t> 0.2478 </t>
  </si>
  <si>
    <t>-I</t>
  </si>
  <si>
    <t> F.Agerer </t>
  </si>
  <si>
    <t>BAVM 183 </t>
  </si>
  <si>
    <t>2454454.3417 </t>
  </si>
  <si>
    <t> 19.12.2007 20:12 </t>
  </si>
  <si>
    <t>15688.5</t>
  </si>
  <si>
    <t> 0.2668 </t>
  </si>
  <si>
    <t> P.Frank </t>
  </si>
  <si>
    <t>BAVM 193 </t>
  </si>
  <si>
    <t>2455601.35654 </t>
  </si>
  <si>
    <t> 08.02.2011 20:33 </t>
  </si>
  <si>
    <t>16372</t>
  </si>
  <si>
    <t> 0.26748 </t>
  </si>
  <si>
    <t>R</t>
  </si>
  <si>
    <t> M.Lehky </t>
  </si>
  <si>
    <t>OEJV 0160 </t>
  </si>
  <si>
    <t>2455604.7141 </t>
  </si>
  <si>
    <t> 12.02.2011 05:08 </t>
  </si>
  <si>
    <t>16374</t>
  </si>
  <si>
    <t> 0.2687 </t>
  </si>
  <si>
    <t>IBVS 5992 </t>
  </si>
  <si>
    <t>2455622.33849 </t>
  </si>
  <si>
    <t> 01.03.2011 20:07 </t>
  </si>
  <si>
    <t>16384.5</t>
  </si>
  <si>
    <t> 0.27258 </t>
  </si>
  <si>
    <t>2455627.37542 </t>
  </si>
  <si>
    <t> 06.03.2011 21:00 </t>
  </si>
  <si>
    <t>16387.5</t>
  </si>
  <si>
    <t> 0.27507 </t>
  </si>
  <si>
    <t>2455960.4837 </t>
  </si>
  <si>
    <t> 02.02.2012 23:36 </t>
  </si>
  <si>
    <t>16586</t>
  </si>
  <si>
    <t> 0.2710 </t>
  </si>
  <si>
    <t>2456013.34749 </t>
  </si>
  <si>
    <t> 26.03.2012 20:20 </t>
  </si>
  <si>
    <t>16617.5</t>
  </si>
  <si>
    <t> 0.27310 </t>
  </si>
  <si>
    <t>2456246.62216 </t>
  </si>
  <si>
    <t> 15.11.2012 02:55 </t>
  </si>
  <si>
    <t>16756.5</t>
  </si>
  <si>
    <t> 0.28520 </t>
  </si>
  <si>
    <t>2456643.5046 </t>
  </si>
  <si>
    <t> 17.12.2013 00:06 </t>
  </si>
  <si>
    <t>16993</t>
  </si>
  <si>
    <t> 0.2856 </t>
  </si>
  <si>
    <t>BAVM 234 </t>
  </si>
  <si>
    <t>BAD?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</si>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</sst>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65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0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Gem - O-C Diagr.</a:t>
            </a:r>
          </a:p>
        </c:rich>
      </c:tx>
      <c:layout>
        <c:manualLayout>
          <c:xMode val="edge"/>
          <c:yMode val="edge"/>
          <c:x val="0.3699518739479051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B7-4F39-9207-3592062B16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Active!$D$22:$D$45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-6.0000000001309672E-2</c:v>
                </c:pt>
                <c:pt idx="2">
                  <c:v>-5.8860000001004664E-2</c:v>
                </c:pt>
                <c:pt idx="3">
                  <c:v>4.7439999998459825E-2</c:v>
                </c:pt>
                <c:pt idx="4">
                  <c:v>-8.066799999869545E-2</c:v>
                </c:pt>
                <c:pt idx="5">
                  <c:v>4.4535999997606268E-2</c:v>
                </c:pt>
                <c:pt idx="6">
                  <c:v>9.2000002041459084E-5</c:v>
                </c:pt>
                <c:pt idx="7">
                  <c:v>-2.6563999999780208E-2</c:v>
                </c:pt>
                <c:pt idx="8">
                  <c:v>6.3067999999475433E-2</c:v>
                </c:pt>
                <c:pt idx="9">
                  <c:v>-1.1347999999998137E-2</c:v>
                </c:pt>
                <c:pt idx="10">
                  <c:v>1.0195999999268679E-2</c:v>
                </c:pt>
                <c:pt idx="11">
                  <c:v>1.5383999998448417E-2</c:v>
                </c:pt>
                <c:pt idx="12">
                  <c:v>2.1747999999206513E-2</c:v>
                </c:pt>
                <c:pt idx="13">
                  <c:v>0.20661599999584723</c:v>
                </c:pt>
                <c:pt idx="14">
                  <c:v>0.17800400000123773</c:v>
                </c:pt>
                <c:pt idx="15">
                  <c:v>0.17060399999900255</c:v>
                </c:pt>
                <c:pt idx="16">
                  <c:v>0.18612399999983609</c:v>
                </c:pt>
                <c:pt idx="17">
                  <c:v>0.19112399999721674</c:v>
                </c:pt>
                <c:pt idx="18">
                  <c:v>0.21542400000180351</c:v>
                </c:pt>
                <c:pt idx="19">
                  <c:v>0.19655200000124751</c:v>
                </c:pt>
                <c:pt idx="20">
                  <c:v>0.18437200000334997</c:v>
                </c:pt>
                <c:pt idx="21">
                  <c:v>0.17789600000105565</c:v>
                </c:pt>
                <c:pt idx="22">
                  <c:v>0.18419600000197534</c:v>
                </c:pt>
                <c:pt idx="23">
                  <c:v>0.18129999999655411</c:v>
                </c:pt>
                <c:pt idx="24">
                  <c:v>0.17640399999800138</c:v>
                </c:pt>
                <c:pt idx="25">
                  <c:v>0.18096000000514323</c:v>
                </c:pt>
                <c:pt idx="26">
                  <c:v>0.19406399999570567</c:v>
                </c:pt>
                <c:pt idx="27">
                  <c:v>0.19582400000217604</c:v>
                </c:pt>
                <c:pt idx="32">
                  <c:v>0.21720400000049267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B7-4F39-9207-3592062B16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28">
                  <c:v>0.20229999999719439</c:v>
                </c:pt>
                <c:pt idx="38">
                  <c:v>0.26874800000223331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B7-4F39-9207-3592062B16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29">
                  <c:v>0.21450800000457093</c:v>
                </c:pt>
                <c:pt idx="31">
                  <c:v>0.21524399999907473</c:v>
                </c:pt>
                <c:pt idx="33">
                  <c:v>0.21830399999453221</c:v>
                </c:pt>
                <c:pt idx="34">
                  <c:v>0.24779600000329083</c:v>
                </c:pt>
                <c:pt idx="35">
                  <c:v>0.26680199999827892</c:v>
                </c:pt>
                <c:pt idx="36">
                  <c:v>0.26748400000360562</c:v>
                </c:pt>
                <c:pt idx="37">
                  <c:v>0.26765400000294903</c:v>
                </c:pt>
                <c:pt idx="39">
                  <c:v>0.27258399999846006</c:v>
                </c:pt>
                <c:pt idx="40">
                  <c:v>0.27506999999604886</c:v>
                </c:pt>
                <c:pt idx="41">
                  <c:v>0.27097199999843724</c:v>
                </c:pt>
                <c:pt idx="42">
                  <c:v>0.27309999999852153</c:v>
                </c:pt>
                <c:pt idx="43">
                  <c:v>0.28519799999776296</c:v>
                </c:pt>
                <c:pt idx="44">
                  <c:v>0.28563600000052247</c:v>
                </c:pt>
                <c:pt idx="45">
                  <c:v>0.38790000000153668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B7-4F39-9207-3592062B16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B7-4F39-9207-3592062B16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B7-4F39-9207-3592062B16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B7-4F39-9207-3592062B16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-1.5026941198457544E-2</c:v>
                </c:pt>
                <c:pt idx="1">
                  <c:v>-1.5035631467526853E-2</c:v>
                </c:pt>
                <c:pt idx="2">
                  <c:v>-1.1637736261426779E-2</c:v>
                </c:pt>
                <c:pt idx="3">
                  <c:v>-1.1203222807961296E-2</c:v>
                </c:pt>
                <c:pt idx="4">
                  <c:v>-6.4930969723954613E-3</c:v>
                </c:pt>
                <c:pt idx="5">
                  <c:v>-4.2857686287908099E-3</c:v>
                </c:pt>
                <c:pt idx="6">
                  <c:v>-4.2336270143749511E-3</c:v>
                </c:pt>
                <c:pt idx="7">
                  <c:v>-2.9822282683943605E-3</c:v>
                </c:pt>
                <c:pt idx="8">
                  <c:v>-2.7041396581764521E-3</c:v>
                </c:pt>
                <c:pt idx="9">
                  <c:v>6.3292366443845616E-4</c:v>
                </c:pt>
                <c:pt idx="10">
                  <c:v>7.9675107589358037E-3</c:v>
                </c:pt>
                <c:pt idx="11">
                  <c:v>8.2977409835695709E-3</c:v>
                </c:pt>
                <c:pt idx="12">
                  <c:v>1.6240646912918599E-2</c:v>
                </c:pt>
                <c:pt idx="13">
                  <c:v>0.17890510335225673</c:v>
                </c:pt>
                <c:pt idx="14">
                  <c:v>0.18531852192540726</c:v>
                </c:pt>
                <c:pt idx="15">
                  <c:v>0.18618754883233823</c:v>
                </c:pt>
                <c:pt idx="16">
                  <c:v>0.18636135421372441</c:v>
                </c:pt>
                <c:pt idx="17">
                  <c:v>0.18636135421372441</c:v>
                </c:pt>
                <c:pt idx="18">
                  <c:v>0.18679586766718989</c:v>
                </c:pt>
                <c:pt idx="19">
                  <c:v>0.18877724901499252</c:v>
                </c:pt>
                <c:pt idx="20">
                  <c:v>0.18938556784984417</c:v>
                </c:pt>
                <c:pt idx="21">
                  <c:v>0.19002864776097309</c:v>
                </c:pt>
                <c:pt idx="22">
                  <c:v>0.19046316121443857</c:v>
                </c:pt>
                <c:pt idx="23">
                  <c:v>0.19397402991843968</c:v>
                </c:pt>
                <c:pt idx="24">
                  <c:v>0.19748489862244079</c:v>
                </c:pt>
                <c:pt idx="25">
                  <c:v>0.19753704023685664</c:v>
                </c:pt>
                <c:pt idx="26">
                  <c:v>0.20104790894085772</c:v>
                </c:pt>
                <c:pt idx="27">
                  <c:v>0.2119976479681879</c:v>
                </c:pt>
                <c:pt idx="28">
                  <c:v>0.21309262187092093</c:v>
                </c:pt>
                <c:pt idx="29">
                  <c:v>0.22793560144130182</c:v>
                </c:pt>
                <c:pt idx="30">
                  <c:v>0.23068172646720367</c:v>
                </c:pt>
                <c:pt idx="31">
                  <c:v>0.23172455875552081</c:v>
                </c:pt>
                <c:pt idx="32">
                  <c:v>0.23485305562047229</c:v>
                </c:pt>
                <c:pt idx="33">
                  <c:v>0.23554827714601706</c:v>
                </c:pt>
                <c:pt idx="34">
                  <c:v>0.25390212542039908</c:v>
                </c:pt>
                <c:pt idx="35">
                  <c:v>0.25764763138927155</c:v>
                </c:pt>
                <c:pt idx="36">
                  <c:v>0.26952722920701783</c:v>
                </c:pt>
                <c:pt idx="37">
                  <c:v>0.26952722920701783</c:v>
                </c:pt>
                <c:pt idx="38">
                  <c:v>0.26956199028329508</c:v>
                </c:pt>
                <c:pt idx="39">
                  <c:v>0.26974448593375056</c:v>
                </c:pt>
                <c:pt idx="40">
                  <c:v>0.26979662754816641</c:v>
                </c:pt>
                <c:pt idx="41">
                  <c:v>0.27324666436868233</c:v>
                </c:pt>
                <c:pt idx="42">
                  <c:v>0.27379415132004886</c:v>
                </c:pt>
                <c:pt idx="43">
                  <c:v>0.27621004612131694</c:v>
                </c:pt>
                <c:pt idx="44">
                  <c:v>0.28032054339110041</c:v>
                </c:pt>
                <c:pt idx="45">
                  <c:v>0.31433425652837843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B7-4F39-9207-3592062B16C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">
                  <c:v>0.83907399999952759</c:v>
                </c:pt>
                <c:pt idx="30">
                  <c:v>3.0124000004434492E-2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B7-4F39-9207-3592062B1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79912"/>
        <c:axId val="1"/>
      </c:scatterChart>
      <c:valAx>
        <c:axId val="720379912"/>
        <c:scaling>
          <c:orientation val="minMax"/>
          <c:max val="18000"/>
          <c:min val="1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79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9355492518201"/>
          <c:y val="0.9204921861831491"/>
          <c:w val="0.7625208722899944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Gem - O-C Diagr.</a:t>
            </a:r>
          </a:p>
        </c:rich>
      </c:tx>
      <c:layout>
        <c:manualLayout>
          <c:xMode val="edge"/>
          <c:yMode val="edge"/>
          <c:x val="0.3693548387096774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634168126798494"/>
          <c:w val="0.819354838709677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D8-4F7A-940F-9C39D3DE388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Active!$D$22:$D$45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-6.0000000001309672E-2</c:v>
                </c:pt>
                <c:pt idx="2">
                  <c:v>-5.8860000001004664E-2</c:v>
                </c:pt>
                <c:pt idx="3">
                  <c:v>4.7439999998459825E-2</c:v>
                </c:pt>
                <c:pt idx="4">
                  <c:v>-8.066799999869545E-2</c:v>
                </c:pt>
                <c:pt idx="5">
                  <c:v>4.4535999997606268E-2</c:v>
                </c:pt>
                <c:pt idx="6">
                  <c:v>9.2000002041459084E-5</c:v>
                </c:pt>
                <c:pt idx="7">
                  <c:v>-2.6563999999780208E-2</c:v>
                </c:pt>
                <c:pt idx="8">
                  <c:v>6.3067999999475433E-2</c:v>
                </c:pt>
                <c:pt idx="9">
                  <c:v>-1.1347999999998137E-2</c:v>
                </c:pt>
                <c:pt idx="10">
                  <c:v>1.0195999999268679E-2</c:v>
                </c:pt>
                <c:pt idx="11">
                  <c:v>1.5383999998448417E-2</c:v>
                </c:pt>
                <c:pt idx="12">
                  <c:v>2.1747999999206513E-2</c:v>
                </c:pt>
                <c:pt idx="13">
                  <c:v>0.20661599999584723</c:v>
                </c:pt>
                <c:pt idx="14">
                  <c:v>0.17800400000123773</c:v>
                </c:pt>
                <c:pt idx="15">
                  <c:v>0.17060399999900255</c:v>
                </c:pt>
                <c:pt idx="16">
                  <c:v>0.18612399999983609</c:v>
                </c:pt>
                <c:pt idx="17">
                  <c:v>0.19112399999721674</c:v>
                </c:pt>
                <c:pt idx="18">
                  <c:v>0.21542400000180351</c:v>
                </c:pt>
                <c:pt idx="19">
                  <c:v>0.19655200000124751</c:v>
                </c:pt>
                <c:pt idx="20">
                  <c:v>0.18437200000334997</c:v>
                </c:pt>
                <c:pt idx="21">
                  <c:v>0.17789600000105565</c:v>
                </c:pt>
                <c:pt idx="22">
                  <c:v>0.18419600000197534</c:v>
                </c:pt>
                <c:pt idx="23">
                  <c:v>0.18129999999655411</c:v>
                </c:pt>
                <c:pt idx="24">
                  <c:v>0.17640399999800138</c:v>
                </c:pt>
                <c:pt idx="25">
                  <c:v>0.18096000000514323</c:v>
                </c:pt>
                <c:pt idx="26">
                  <c:v>0.19406399999570567</c:v>
                </c:pt>
                <c:pt idx="27">
                  <c:v>0.19582400000217604</c:v>
                </c:pt>
                <c:pt idx="32">
                  <c:v>0.21720400000049267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D8-4F7A-940F-9C39D3DE38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28">
                  <c:v>0.20229999999719439</c:v>
                </c:pt>
                <c:pt idx="38">
                  <c:v>0.26874800000223331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D8-4F7A-940F-9C39D3DE38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29">
                  <c:v>0.21450800000457093</c:v>
                </c:pt>
                <c:pt idx="31">
                  <c:v>0.21524399999907473</c:v>
                </c:pt>
                <c:pt idx="33">
                  <c:v>0.21830399999453221</c:v>
                </c:pt>
                <c:pt idx="34">
                  <c:v>0.24779600000329083</c:v>
                </c:pt>
                <c:pt idx="35">
                  <c:v>0.26680199999827892</c:v>
                </c:pt>
                <c:pt idx="36">
                  <c:v>0.26748400000360562</c:v>
                </c:pt>
                <c:pt idx="37">
                  <c:v>0.26765400000294903</c:v>
                </c:pt>
                <c:pt idx="39">
                  <c:v>0.27258399999846006</c:v>
                </c:pt>
                <c:pt idx="40">
                  <c:v>0.27506999999604886</c:v>
                </c:pt>
                <c:pt idx="41">
                  <c:v>0.27097199999843724</c:v>
                </c:pt>
                <c:pt idx="42">
                  <c:v>0.27309999999852153</c:v>
                </c:pt>
                <c:pt idx="43">
                  <c:v>0.28519799999776296</c:v>
                </c:pt>
                <c:pt idx="44">
                  <c:v>0.28563600000052247</c:v>
                </c:pt>
                <c:pt idx="45">
                  <c:v>0.38790000000153668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D8-4F7A-940F-9C39D3DE38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D8-4F7A-940F-9C39D3DE38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D8-4F7A-940F-9C39D3DE38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D8-4F7A-940F-9C39D3DE38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-1.5026941198457544E-2</c:v>
                </c:pt>
                <c:pt idx="1">
                  <c:v>-1.5035631467526853E-2</c:v>
                </c:pt>
                <c:pt idx="2">
                  <c:v>-1.1637736261426779E-2</c:v>
                </c:pt>
                <c:pt idx="3">
                  <c:v>-1.1203222807961296E-2</c:v>
                </c:pt>
                <c:pt idx="4">
                  <c:v>-6.4930969723954613E-3</c:v>
                </c:pt>
                <c:pt idx="5">
                  <c:v>-4.2857686287908099E-3</c:v>
                </c:pt>
                <c:pt idx="6">
                  <c:v>-4.2336270143749511E-3</c:v>
                </c:pt>
                <c:pt idx="7">
                  <c:v>-2.9822282683943605E-3</c:v>
                </c:pt>
                <c:pt idx="8">
                  <c:v>-2.7041396581764521E-3</c:v>
                </c:pt>
                <c:pt idx="9">
                  <c:v>6.3292366443845616E-4</c:v>
                </c:pt>
                <c:pt idx="10">
                  <c:v>7.9675107589358037E-3</c:v>
                </c:pt>
                <c:pt idx="11">
                  <c:v>8.2977409835695709E-3</c:v>
                </c:pt>
                <c:pt idx="12">
                  <c:v>1.6240646912918599E-2</c:v>
                </c:pt>
                <c:pt idx="13">
                  <c:v>0.17890510335225673</c:v>
                </c:pt>
                <c:pt idx="14">
                  <c:v>0.18531852192540726</c:v>
                </c:pt>
                <c:pt idx="15">
                  <c:v>0.18618754883233823</c:v>
                </c:pt>
                <c:pt idx="16">
                  <c:v>0.18636135421372441</c:v>
                </c:pt>
                <c:pt idx="17">
                  <c:v>0.18636135421372441</c:v>
                </c:pt>
                <c:pt idx="18">
                  <c:v>0.18679586766718989</c:v>
                </c:pt>
                <c:pt idx="19">
                  <c:v>0.18877724901499252</c:v>
                </c:pt>
                <c:pt idx="20">
                  <c:v>0.18938556784984417</c:v>
                </c:pt>
                <c:pt idx="21">
                  <c:v>0.19002864776097309</c:v>
                </c:pt>
                <c:pt idx="22">
                  <c:v>0.19046316121443857</c:v>
                </c:pt>
                <c:pt idx="23">
                  <c:v>0.19397402991843968</c:v>
                </c:pt>
                <c:pt idx="24">
                  <c:v>0.19748489862244079</c:v>
                </c:pt>
                <c:pt idx="25">
                  <c:v>0.19753704023685664</c:v>
                </c:pt>
                <c:pt idx="26">
                  <c:v>0.20104790894085772</c:v>
                </c:pt>
                <c:pt idx="27">
                  <c:v>0.2119976479681879</c:v>
                </c:pt>
                <c:pt idx="28">
                  <c:v>0.21309262187092093</c:v>
                </c:pt>
                <c:pt idx="29">
                  <c:v>0.22793560144130182</c:v>
                </c:pt>
                <c:pt idx="30">
                  <c:v>0.23068172646720367</c:v>
                </c:pt>
                <c:pt idx="31">
                  <c:v>0.23172455875552081</c:v>
                </c:pt>
                <c:pt idx="32">
                  <c:v>0.23485305562047229</c:v>
                </c:pt>
                <c:pt idx="33">
                  <c:v>0.23554827714601706</c:v>
                </c:pt>
                <c:pt idx="34">
                  <c:v>0.25390212542039908</c:v>
                </c:pt>
                <c:pt idx="35">
                  <c:v>0.25764763138927155</c:v>
                </c:pt>
                <c:pt idx="36">
                  <c:v>0.26952722920701783</c:v>
                </c:pt>
                <c:pt idx="37">
                  <c:v>0.26952722920701783</c:v>
                </c:pt>
                <c:pt idx="38">
                  <c:v>0.26956199028329508</c:v>
                </c:pt>
                <c:pt idx="39">
                  <c:v>0.26974448593375056</c:v>
                </c:pt>
                <c:pt idx="40">
                  <c:v>0.26979662754816641</c:v>
                </c:pt>
                <c:pt idx="41">
                  <c:v>0.27324666436868233</c:v>
                </c:pt>
                <c:pt idx="42">
                  <c:v>0.27379415132004886</c:v>
                </c:pt>
                <c:pt idx="43">
                  <c:v>0.27621004612131694</c:v>
                </c:pt>
                <c:pt idx="44">
                  <c:v>0.28032054339110041</c:v>
                </c:pt>
                <c:pt idx="45">
                  <c:v>0.31433425652837843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D8-4F7A-940F-9C39D3DE388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-0.5</c:v>
                </c:pt>
                <c:pt idx="2">
                  <c:v>195</c:v>
                </c:pt>
                <c:pt idx="3">
                  <c:v>220</c:v>
                </c:pt>
                <c:pt idx="4">
                  <c:v>491</c:v>
                </c:pt>
                <c:pt idx="5">
                  <c:v>618</c:v>
                </c:pt>
                <c:pt idx="6">
                  <c:v>621</c:v>
                </c:pt>
                <c:pt idx="7">
                  <c:v>693</c:v>
                </c:pt>
                <c:pt idx="8">
                  <c:v>709</c:v>
                </c:pt>
                <c:pt idx="9">
                  <c:v>901</c:v>
                </c:pt>
                <c:pt idx="10">
                  <c:v>1323</c:v>
                </c:pt>
                <c:pt idx="11">
                  <c:v>1342</c:v>
                </c:pt>
                <c:pt idx="12">
                  <c:v>1799</c:v>
                </c:pt>
                <c:pt idx="13">
                  <c:v>11158</c:v>
                </c:pt>
                <c:pt idx="14">
                  <c:v>11527</c:v>
                </c:pt>
                <c:pt idx="15">
                  <c:v>11577</c:v>
                </c:pt>
                <c:pt idx="16">
                  <c:v>11587</c:v>
                </c:pt>
                <c:pt idx="17">
                  <c:v>11587</c:v>
                </c:pt>
                <c:pt idx="18">
                  <c:v>11612</c:v>
                </c:pt>
                <c:pt idx="19">
                  <c:v>11726</c:v>
                </c:pt>
                <c:pt idx="20">
                  <c:v>11761</c:v>
                </c:pt>
                <c:pt idx="21">
                  <c:v>11798</c:v>
                </c:pt>
                <c:pt idx="22">
                  <c:v>11823</c:v>
                </c:pt>
                <c:pt idx="23">
                  <c:v>12025</c:v>
                </c:pt>
                <c:pt idx="24">
                  <c:v>12227</c:v>
                </c:pt>
                <c:pt idx="25">
                  <c:v>12230</c:v>
                </c:pt>
                <c:pt idx="26">
                  <c:v>12432</c:v>
                </c:pt>
                <c:pt idx="27">
                  <c:v>13062</c:v>
                </c:pt>
                <c:pt idx="28">
                  <c:v>13125</c:v>
                </c:pt>
                <c:pt idx="29">
                  <c:v>13979</c:v>
                </c:pt>
                <c:pt idx="30">
                  <c:v>14137</c:v>
                </c:pt>
                <c:pt idx="31">
                  <c:v>14197</c:v>
                </c:pt>
                <c:pt idx="32">
                  <c:v>14377</c:v>
                </c:pt>
                <c:pt idx="33">
                  <c:v>14417</c:v>
                </c:pt>
                <c:pt idx="34">
                  <c:v>15473</c:v>
                </c:pt>
                <c:pt idx="35">
                  <c:v>15688.5</c:v>
                </c:pt>
                <c:pt idx="36">
                  <c:v>16372</c:v>
                </c:pt>
                <c:pt idx="37">
                  <c:v>16372</c:v>
                </c:pt>
                <c:pt idx="38">
                  <c:v>16374</c:v>
                </c:pt>
                <c:pt idx="39">
                  <c:v>16384.5</c:v>
                </c:pt>
                <c:pt idx="40">
                  <c:v>16387.5</c:v>
                </c:pt>
                <c:pt idx="41">
                  <c:v>16586</c:v>
                </c:pt>
                <c:pt idx="42">
                  <c:v>16617.5</c:v>
                </c:pt>
                <c:pt idx="43">
                  <c:v>16756.5</c:v>
                </c:pt>
                <c:pt idx="44">
                  <c:v>16993</c:v>
                </c:pt>
                <c:pt idx="45">
                  <c:v>18950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">
                  <c:v>0.83907399999952759</c:v>
                </c:pt>
                <c:pt idx="30">
                  <c:v>3.0124000004434492E-2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3D8-4F7A-940F-9C39D3DE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82432"/>
        <c:axId val="1"/>
      </c:scatterChart>
      <c:valAx>
        <c:axId val="720382432"/>
        <c:scaling>
          <c:orientation val="minMax"/>
          <c:max val="18000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82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6774193548387"/>
          <c:y val="0.92073298764483702"/>
          <c:w val="0.76129032258064511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361950</xdr:colOff>
      <xdr:row>18</xdr:row>
      <xdr:rowOff>38100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1E8F4185-C9FD-DD59-3A2C-9C262D148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9525</xdr:colOff>
      <xdr:row>0</xdr:row>
      <xdr:rowOff>0</xdr:rowOff>
    </xdr:from>
    <xdr:to>
      <xdr:col>25</xdr:col>
      <xdr:colOff>428625</xdr:colOff>
      <xdr:row>18</xdr:row>
      <xdr:rowOff>47625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17C2021D-938D-C660-4D5C-9ABA9899B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2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56" TargetMode="External"/><Relationship Id="rId7" Type="http://schemas.openxmlformats.org/officeDocument/2006/relationships/hyperlink" Target="http://www.bav-astro.de/sfs/BAVM_link.php?BAVMnr=68" TargetMode="External"/><Relationship Id="rId12" Type="http://schemas.openxmlformats.org/officeDocument/2006/relationships/hyperlink" Target="http://www.bav-astro.de/sfs/BAVM_link.php?BAVMnr=193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www.bav-astro.de/sfs/BAVM_link.php?BAVMnr=234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bav-astro.de/sfs/BAVM_link.php?BAVMnr=62" TargetMode="External"/><Relationship Id="rId11" Type="http://schemas.openxmlformats.org/officeDocument/2006/relationships/hyperlink" Target="http://www.bav-astro.de/sfs/BAVM_link.php?BAVMnr=183" TargetMode="External"/><Relationship Id="rId5" Type="http://schemas.openxmlformats.org/officeDocument/2006/relationships/hyperlink" Target="http://www.bav-astro.de/sfs/BAVM_link.php?BAVMnr=68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www.konkoly.hu/cgi-bin/IBVS?5287" TargetMode="External"/><Relationship Id="rId14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7"/>
  <sheetViews>
    <sheetView tabSelected="1" workbookViewId="0">
      <pane xSplit="14" ySplit="22" topLeftCell="O56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5.71093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t="s">
        <v>33</v>
      </c>
    </row>
    <row r="4" spans="1:6" ht="14.25" thickTop="1" thickBot="1" x14ac:dyDescent="0.25">
      <c r="A4" s="7" t="s">
        <v>0</v>
      </c>
      <c r="C4" s="3">
        <v>28126.45</v>
      </c>
      <c r="D4" s="4">
        <v>1.678148</v>
      </c>
    </row>
    <row r="5" spans="1:6" ht="13.5" thickTop="1" x14ac:dyDescent="0.2">
      <c r="A5" s="13" t="s">
        <v>38</v>
      </c>
      <c r="B5" s="14"/>
      <c r="C5" s="15">
        <v>-9.5</v>
      </c>
      <c r="D5" s="14" t="s">
        <v>39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28126.45</v>
      </c>
    </row>
    <row r="8" spans="1:6" x14ac:dyDescent="0.2">
      <c r="A8" t="s">
        <v>3</v>
      </c>
      <c r="C8">
        <f>+D4</f>
        <v>1.678148</v>
      </c>
    </row>
    <row r="9" spans="1:6" x14ac:dyDescent="0.2">
      <c r="A9" s="27" t="s">
        <v>44</v>
      </c>
      <c r="B9" s="28">
        <v>22</v>
      </c>
      <c r="C9" s="26" t="str">
        <f>"F"&amp;B9</f>
        <v>F22</v>
      </c>
      <c r="D9" s="10" t="str">
        <f>"G"&amp;B9</f>
        <v>G22</v>
      </c>
    </row>
    <row r="10" spans="1:6" ht="13.5" thickBot="1" x14ac:dyDescent="0.25">
      <c r="A10" s="14"/>
      <c r="B10" s="14"/>
      <c r="C10" s="6" t="s">
        <v>20</v>
      </c>
      <c r="D10" s="6" t="s">
        <v>21</v>
      </c>
      <c r="E10" s="14"/>
    </row>
    <row r="11" spans="1:6" x14ac:dyDescent="0.2">
      <c r="A11" s="14" t="s">
        <v>16</v>
      </c>
      <c r="B11" s="14"/>
      <c r="C11" s="25">
        <f ca="1">INTERCEPT(INDIRECT($D$9):G990,INDIRECT($C$9):F990)</f>
        <v>-1.5026941198457544E-2</v>
      </c>
      <c r="D11" s="5"/>
      <c r="E11" s="14"/>
    </row>
    <row r="12" spans="1:6" x14ac:dyDescent="0.2">
      <c r="A12" s="14" t="s">
        <v>17</v>
      </c>
      <c r="B12" s="14"/>
      <c r="C12" s="25">
        <f ca="1">SLOPE(INDIRECT($D$9):G990,INDIRECT($C$9):F990)</f>
        <v>1.7380538138619311E-5</v>
      </c>
      <c r="D12" s="5"/>
      <c r="E12" s="14"/>
    </row>
    <row r="13" spans="1:6" x14ac:dyDescent="0.2">
      <c r="A13" s="14" t="s">
        <v>19</v>
      </c>
      <c r="B13" s="14"/>
      <c r="C13" s="5" t="s">
        <v>14</v>
      </c>
    </row>
    <row r="14" spans="1:6" x14ac:dyDescent="0.2">
      <c r="A14" s="14"/>
      <c r="B14" s="14"/>
      <c r="C14" s="14"/>
    </row>
    <row r="15" spans="1:6" x14ac:dyDescent="0.2">
      <c r="A15" s="16" t="s">
        <v>18</v>
      </c>
      <c r="B15" s="14"/>
      <c r="C15" s="17">
        <f ca="1">(C7+C11)+(C8+C12)*INT(MAX(F21:F3531))</f>
        <v>59927.668934256537</v>
      </c>
      <c r="E15" s="18" t="s">
        <v>46</v>
      </c>
      <c r="F15" s="15">
        <v>1</v>
      </c>
    </row>
    <row r="16" spans="1:6" x14ac:dyDescent="0.2">
      <c r="A16" s="20" t="s">
        <v>4</v>
      </c>
      <c r="B16" s="14"/>
      <c r="C16" s="21">
        <f ca="1">+C8+C12</f>
        <v>1.6781653805381387</v>
      </c>
      <c r="E16" s="18" t="s">
        <v>40</v>
      </c>
      <c r="F16" s="19">
        <f ca="1">NOW()+15018.5+$C$5/24</f>
        <v>60162.852479745365</v>
      </c>
    </row>
    <row r="17" spans="1:21" ht="13.5" thickBot="1" x14ac:dyDescent="0.25">
      <c r="A17" s="18" t="s">
        <v>36</v>
      </c>
      <c r="B17" s="14"/>
      <c r="C17" s="14">
        <f>COUNT(C21:C2189)</f>
        <v>46</v>
      </c>
      <c r="E17" s="18" t="s">
        <v>47</v>
      </c>
      <c r="F17" s="19">
        <f ca="1">ROUND(2*(F16-$C$7)/$C$8,0)/2+F15</f>
        <v>19091.5</v>
      </c>
    </row>
    <row r="18" spans="1:21" ht="14.25" thickTop="1" thickBot="1" x14ac:dyDescent="0.25">
      <c r="A18" s="20" t="s">
        <v>5</v>
      </c>
      <c r="B18" s="14"/>
      <c r="C18" s="23">
        <f ca="1">+C15</f>
        <v>59927.668934256537</v>
      </c>
      <c r="D18" s="24">
        <f ca="1">+C16</f>
        <v>1.6781653805381387</v>
      </c>
      <c r="E18" s="18" t="s">
        <v>41</v>
      </c>
      <c r="F18" s="10">
        <f ca="1">ROUND(2*(F16-$C$15)/$C$16,0)/2+F15</f>
        <v>141</v>
      </c>
    </row>
    <row r="19" spans="1:21" ht="13.5" thickTop="1" x14ac:dyDescent="0.2">
      <c r="E19" s="18" t="s">
        <v>42</v>
      </c>
      <c r="F19" s="22">
        <f ca="1">+$C$15+$C$16*F18-15018.5-$C$5/24</f>
        <v>45146.186086245747</v>
      </c>
    </row>
    <row r="20" spans="1:2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60</v>
      </c>
      <c r="I20" s="9" t="s">
        <v>63</v>
      </c>
      <c r="J20" s="9" t="s">
        <v>57</v>
      </c>
      <c r="K20" s="9" t="s">
        <v>55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5" t="s">
        <v>239</v>
      </c>
    </row>
    <row r="21" spans="1:21" x14ac:dyDescent="0.2">
      <c r="A21" s="52" t="s">
        <v>70</v>
      </c>
      <c r="B21" s="54" t="s">
        <v>35</v>
      </c>
      <c r="C21" s="53">
        <v>28126.39</v>
      </c>
      <c r="D21" s="53" t="s">
        <v>63</v>
      </c>
      <c r="E21">
        <f t="shared" ref="E21:E65" si="0">+(C21-C$7)/C$8</f>
        <v>-3.5753699912826328E-2</v>
      </c>
      <c r="F21">
        <f>ROUND(2*E21,0)/2</f>
        <v>0</v>
      </c>
      <c r="G21">
        <f>+C21-(C$7+F21*C$8)</f>
        <v>-6.0000000001309672E-2</v>
      </c>
      <c r="I21">
        <f>G21</f>
        <v>-6.0000000001309672E-2</v>
      </c>
      <c r="O21">
        <f t="shared" ref="O21:O65" ca="1" si="1">+C$11+C$12*F21</f>
        <v>-1.5026941198457544E-2</v>
      </c>
      <c r="Q21" s="2">
        <f t="shared" ref="Q21:Q65" si="2">+C21-15018.5</f>
        <v>13107.89</v>
      </c>
    </row>
    <row r="22" spans="1:21" x14ac:dyDescent="0.2">
      <c r="A22" t="s">
        <v>12</v>
      </c>
      <c r="C22" s="12">
        <v>28126.45</v>
      </c>
      <c r="D22" s="12" t="s">
        <v>14</v>
      </c>
      <c r="E22">
        <f t="shared" si="0"/>
        <v>0</v>
      </c>
      <c r="F22" s="10">
        <v>-0.5</v>
      </c>
      <c r="H22" s="11"/>
      <c r="O22">
        <f t="shared" ca="1" si="1"/>
        <v>-1.5035631467526853E-2</v>
      </c>
      <c r="Q22" s="2">
        <f t="shared" si="2"/>
        <v>13107.95</v>
      </c>
      <c r="U22">
        <f>+C22-(C$7+F22*C$8)</f>
        <v>0.83907399999952759</v>
      </c>
    </row>
    <row r="23" spans="1:21" x14ac:dyDescent="0.2">
      <c r="A23" s="52" t="s">
        <v>70</v>
      </c>
      <c r="B23" s="54" t="s">
        <v>35</v>
      </c>
      <c r="C23" s="53">
        <v>28453.63</v>
      </c>
      <c r="D23" s="53" t="s">
        <v>63</v>
      </c>
      <c r="E23">
        <f t="shared" si="0"/>
        <v>194.96492562038645</v>
      </c>
      <c r="F23">
        <f t="shared" ref="F23:F65" si="3">ROUND(2*E23,0)/2</f>
        <v>195</v>
      </c>
      <c r="G23">
        <f t="shared" ref="G23:G50" si="4">+C23-(C$7+F23*C$8)</f>
        <v>-5.8860000001004664E-2</v>
      </c>
      <c r="I23">
        <f t="shared" ref="I23:I48" si="5">G23</f>
        <v>-5.8860000001004664E-2</v>
      </c>
      <c r="O23">
        <f t="shared" ca="1" si="1"/>
        <v>-1.1637736261426779E-2</v>
      </c>
      <c r="Q23" s="2">
        <f t="shared" si="2"/>
        <v>13435.130000000001</v>
      </c>
    </row>
    <row r="24" spans="1:21" x14ac:dyDescent="0.2">
      <c r="A24" s="52" t="s">
        <v>70</v>
      </c>
      <c r="B24" s="54" t="s">
        <v>35</v>
      </c>
      <c r="C24" s="53">
        <v>28495.69</v>
      </c>
      <c r="D24" s="53" t="s">
        <v>63</v>
      </c>
      <c r="E24">
        <f t="shared" si="0"/>
        <v>220.02826925872924</v>
      </c>
      <c r="F24">
        <f t="shared" si="3"/>
        <v>220</v>
      </c>
      <c r="G24">
        <f t="shared" si="4"/>
        <v>4.7439999998459825E-2</v>
      </c>
      <c r="I24">
        <f t="shared" si="5"/>
        <v>4.7439999998459825E-2</v>
      </c>
      <c r="O24">
        <f t="shared" ca="1" si="1"/>
        <v>-1.1203222807961296E-2</v>
      </c>
      <c r="Q24" s="2">
        <f t="shared" si="2"/>
        <v>13477.189999999999</v>
      </c>
    </row>
    <row r="25" spans="1:21" x14ac:dyDescent="0.2">
      <c r="A25" s="52" t="s">
        <v>70</v>
      </c>
      <c r="B25" s="54" t="s">
        <v>35</v>
      </c>
      <c r="C25" s="53">
        <v>28950.34</v>
      </c>
      <c r="D25" s="53" t="s">
        <v>63</v>
      </c>
      <c r="E25">
        <f t="shared" si="0"/>
        <v>490.95193034225792</v>
      </c>
      <c r="F25">
        <f t="shared" si="3"/>
        <v>491</v>
      </c>
      <c r="G25">
        <f t="shared" si="4"/>
        <v>-8.066799999869545E-2</v>
      </c>
      <c r="I25">
        <f t="shared" si="5"/>
        <v>-8.066799999869545E-2</v>
      </c>
      <c r="O25">
        <f t="shared" ca="1" si="1"/>
        <v>-6.4930969723954613E-3</v>
      </c>
      <c r="Q25" s="2">
        <f t="shared" si="2"/>
        <v>13931.84</v>
      </c>
    </row>
    <row r="26" spans="1:21" x14ac:dyDescent="0.2">
      <c r="A26" s="52" t="s">
        <v>70</v>
      </c>
      <c r="B26" s="54" t="s">
        <v>35</v>
      </c>
      <c r="C26" s="53">
        <v>29163.59</v>
      </c>
      <c r="D26" s="53" t="s">
        <v>63</v>
      </c>
      <c r="E26">
        <f t="shared" si="0"/>
        <v>618.0265387796544</v>
      </c>
      <c r="F26">
        <f t="shared" si="3"/>
        <v>618</v>
      </c>
      <c r="G26">
        <f t="shared" si="4"/>
        <v>4.4535999997606268E-2</v>
      </c>
      <c r="I26">
        <f t="shared" si="5"/>
        <v>4.4535999997606268E-2</v>
      </c>
      <c r="O26">
        <f t="shared" ca="1" si="1"/>
        <v>-4.2857686287908099E-3</v>
      </c>
      <c r="Q26" s="2">
        <f t="shared" si="2"/>
        <v>14145.09</v>
      </c>
    </row>
    <row r="27" spans="1:21" x14ac:dyDescent="0.2">
      <c r="A27" s="52" t="s">
        <v>70</v>
      </c>
      <c r="B27" s="54" t="s">
        <v>35</v>
      </c>
      <c r="C27" s="53">
        <v>29168.58</v>
      </c>
      <c r="D27" s="53" t="s">
        <v>63</v>
      </c>
      <c r="E27">
        <f t="shared" si="0"/>
        <v>621.00005482234053</v>
      </c>
      <c r="F27">
        <f t="shared" si="3"/>
        <v>621</v>
      </c>
      <c r="G27">
        <f t="shared" si="4"/>
        <v>9.2000002041459084E-5</v>
      </c>
      <c r="I27">
        <f t="shared" si="5"/>
        <v>9.2000002041459084E-5</v>
      </c>
      <c r="O27">
        <f t="shared" ca="1" si="1"/>
        <v>-4.2336270143749511E-3</v>
      </c>
      <c r="Q27" s="2">
        <f t="shared" si="2"/>
        <v>14150.080000000002</v>
      </c>
    </row>
    <row r="28" spans="1:21" x14ac:dyDescent="0.2">
      <c r="A28" s="52" t="s">
        <v>70</v>
      </c>
      <c r="B28" s="54" t="s">
        <v>35</v>
      </c>
      <c r="C28" s="53">
        <v>29289.38</v>
      </c>
      <c r="D28" s="53" t="s">
        <v>63</v>
      </c>
      <c r="E28">
        <f t="shared" si="0"/>
        <v>692.98417064525916</v>
      </c>
      <c r="F28">
        <f t="shared" si="3"/>
        <v>693</v>
      </c>
      <c r="G28">
        <f t="shared" si="4"/>
        <v>-2.6563999999780208E-2</v>
      </c>
      <c r="I28">
        <f t="shared" si="5"/>
        <v>-2.6563999999780208E-2</v>
      </c>
      <c r="O28">
        <f t="shared" ca="1" si="1"/>
        <v>-2.9822282683943605E-3</v>
      </c>
      <c r="Q28" s="2">
        <f t="shared" si="2"/>
        <v>14270.880000000001</v>
      </c>
    </row>
    <row r="29" spans="1:21" x14ac:dyDescent="0.2">
      <c r="A29" s="52" t="s">
        <v>70</v>
      </c>
      <c r="B29" s="54" t="s">
        <v>35</v>
      </c>
      <c r="C29" s="53">
        <v>29316.32</v>
      </c>
      <c r="D29" s="53" t="s">
        <v>63</v>
      </c>
      <c r="E29">
        <f t="shared" si="0"/>
        <v>709.03758190576696</v>
      </c>
      <c r="F29">
        <f t="shared" si="3"/>
        <v>709</v>
      </c>
      <c r="G29">
        <f t="shared" si="4"/>
        <v>6.3067999999475433E-2</v>
      </c>
      <c r="I29">
        <f t="shared" si="5"/>
        <v>6.3067999999475433E-2</v>
      </c>
      <c r="O29">
        <f t="shared" ca="1" si="1"/>
        <v>-2.7041396581764521E-3</v>
      </c>
      <c r="Q29" s="2">
        <f t="shared" si="2"/>
        <v>14297.82</v>
      </c>
    </row>
    <row r="30" spans="1:21" x14ac:dyDescent="0.2">
      <c r="A30" s="52" t="s">
        <v>70</v>
      </c>
      <c r="B30" s="54" t="s">
        <v>35</v>
      </c>
      <c r="C30" s="53">
        <v>29638.45</v>
      </c>
      <c r="D30" s="53" t="s">
        <v>63</v>
      </c>
      <c r="E30">
        <f t="shared" si="0"/>
        <v>900.99323778355665</v>
      </c>
      <c r="F30">
        <f t="shared" si="3"/>
        <v>901</v>
      </c>
      <c r="G30">
        <f t="shared" si="4"/>
        <v>-1.1347999999998137E-2</v>
      </c>
      <c r="I30">
        <f t="shared" si="5"/>
        <v>-1.1347999999998137E-2</v>
      </c>
      <c r="O30">
        <f t="shared" ca="1" si="1"/>
        <v>6.3292366443845616E-4</v>
      </c>
      <c r="Q30" s="2">
        <f t="shared" si="2"/>
        <v>14619.95</v>
      </c>
    </row>
    <row r="31" spans="1:21" x14ac:dyDescent="0.2">
      <c r="A31" s="52" t="s">
        <v>70</v>
      </c>
      <c r="B31" s="54" t="s">
        <v>35</v>
      </c>
      <c r="C31" s="53">
        <v>30346.65</v>
      </c>
      <c r="D31" s="53" t="s">
        <v>63</v>
      </c>
      <c r="E31">
        <f t="shared" si="0"/>
        <v>1323.0060757454055</v>
      </c>
      <c r="F31">
        <f t="shared" si="3"/>
        <v>1323</v>
      </c>
      <c r="G31">
        <f t="shared" si="4"/>
        <v>1.0195999999268679E-2</v>
      </c>
      <c r="I31">
        <f t="shared" si="5"/>
        <v>1.0195999999268679E-2</v>
      </c>
      <c r="O31">
        <f t="shared" ca="1" si="1"/>
        <v>7.9675107589358037E-3</v>
      </c>
      <c r="Q31" s="2">
        <f t="shared" si="2"/>
        <v>15328.150000000001</v>
      </c>
    </row>
    <row r="32" spans="1:21" x14ac:dyDescent="0.2">
      <c r="A32" s="52" t="s">
        <v>70</v>
      </c>
      <c r="B32" s="54" t="s">
        <v>35</v>
      </c>
      <c r="C32" s="53">
        <v>30378.54</v>
      </c>
      <c r="D32" s="53" t="s">
        <v>63</v>
      </c>
      <c r="E32">
        <f t="shared" si="0"/>
        <v>1342.0091672486576</v>
      </c>
      <c r="F32">
        <f t="shared" si="3"/>
        <v>1342</v>
      </c>
      <c r="G32">
        <f t="shared" si="4"/>
        <v>1.5383999998448417E-2</v>
      </c>
      <c r="I32">
        <f t="shared" si="5"/>
        <v>1.5383999998448417E-2</v>
      </c>
      <c r="O32">
        <f t="shared" ca="1" si="1"/>
        <v>8.2977409835695709E-3</v>
      </c>
      <c r="Q32" s="2">
        <f t="shared" si="2"/>
        <v>15360.04</v>
      </c>
    </row>
    <row r="33" spans="1:31" x14ac:dyDescent="0.2">
      <c r="A33" s="52" t="s">
        <v>70</v>
      </c>
      <c r="B33" s="54" t="s">
        <v>35</v>
      </c>
      <c r="C33" s="53">
        <v>31145.46</v>
      </c>
      <c r="D33" s="53" t="s">
        <v>63</v>
      </c>
      <c r="E33">
        <f t="shared" si="0"/>
        <v>1799.0129595244273</v>
      </c>
      <c r="F33">
        <f t="shared" si="3"/>
        <v>1799</v>
      </c>
      <c r="G33">
        <f t="shared" si="4"/>
        <v>2.1747999999206513E-2</v>
      </c>
      <c r="I33">
        <f t="shared" si="5"/>
        <v>2.1747999999206513E-2</v>
      </c>
      <c r="O33">
        <f t="shared" ca="1" si="1"/>
        <v>1.6240646912918599E-2</v>
      </c>
      <c r="Q33" s="2">
        <f t="shared" si="2"/>
        <v>16126.96</v>
      </c>
    </row>
    <row r="34" spans="1:31" x14ac:dyDescent="0.2">
      <c r="A34" s="52" t="s">
        <v>107</v>
      </c>
      <c r="B34" s="54" t="s">
        <v>35</v>
      </c>
      <c r="C34" s="53">
        <v>46851.432000000001</v>
      </c>
      <c r="D34" s="53" t="s">
        <v>63</v>
      </c>
      <c r="E34">
        <f t="shared" si="0"/>
        <v>11158.123121441018</v>
      </c>
      <c r="F34">
        <f t="shared" si="3"/>
        <v>11158</v>
      </c>
      <c r="G34">
        <f t="shared" si="4"/>
        <v>0.20661599999584723</v>
      </c>
      <c r="I34">
        <f t="shared" si="5"/>
        <v>0.20661599999584723</v>
      </c>
      <c r="O34">
        <f t="shared" ca="1" si="1"/>
        <v>0.17890510335225673</v>
      </c>
      <c r="Q34" s="2">
        <f t="shared" si="2"/>
        <v>31832.932000000001</v>
      </c>
    </row>
    <row r="35" spans="1:31" x14ac:dyDescent="0.2">
      <c r="A35" s="52" t="s">
        <v>107</v>
      </c>
      <c r="B35" s="54" t="s">
        <v>35</v>
      </c>
      <c r="C35" s="53">
        <v>47470.64</v>
      </c>
      <c r="D35" s="53" t="s">
        <v>63</v>
      </c>
      <c r="E35">
        <f t="shared" si="0"/>
        <v>11527.106071693319</v>
      </c>
      <c r="F35">
        <f t="shared" si="3"/>
        <v>11527</v>
      </c>
      <c r="G35">
        <f t="shared" si="4"/>
        <v>0.17800400000123773</v>
      </c>
      <c r="I35">
        <f t="shared" si="5"/>
        <v>0.17800400000123773</v>
      </c>
      <c r="O35">
        <f t="shared" ca="1" si="1"/>
        <v>0.18531852192540726</v>
      </c>
      <c r="Q35" s="2">
        <f t="shared" si="2"/>
        <v>32452.14</v>
      </c>
    </row>
    <row r="36" spans="1:31" x14ac:dyDescent="0.2">
      <c r="A36" s="52" t="s">
        <v>116</v>
      </c>
      <c r="B36" s="54" t="s">
        <v>35</v>
      </c>
      <c r="C36" s="53">
        <v>47554.54</v>
      </c>
      <c r="D36" s="53" t="s">
        <v>63</v>
      </c>
      <c r="E36">
        <f t="shared" si="0"/>
        <v>11577.10166207033</v>
      </c>
      <c r="F36">
        <f t="shared" si="3"/>
        <v>11577</v>
      </c>
      <c r="G36">
        <f t="shared" si="4"/>
        <v>0.17060399999900255</v>
      </c>
      <c r="I36">
        <f t="shared" si="5"/>
        <v>0.17060399999900255</v>
      </c>
      <c r="O36">
        <f t="shared" ca="1" si="1"/>
        <v>0.18618754883233823</v>
      </c>
      <c r="Q36" s="2">
        <f t="shared" si="2"/>
        <v>32536.04</v>
      </c>
    </row>
    <row r="37" spans="1:31" x14ac:dyDescent="0.2">
      <c r="A37" s="52" t="s">
        <v>107</v>
      </c>
      <c r="B37" s="54" t="s">
        <v>35</v>
      </c>
      <c r="C37" s="53">
        <v>47571.337</v>
      </c>
      <c r="D37" s="53" t="s">
        <v>63</v>
      </c>
      <c r="E37">
        <f t="shared" si="0"/>
        <v>11587.110910360707</v>
      </c>
      <c r="F37">
        <f t="shared" si="3"/>
        <v>11587</v>
      </c>
      <c r="G37">
        <f t="shared" si="4"/>
        <v>0.18612399999983609</v>
      </c>
      <c r="I37">
        <f t="shared" si="5"/>
        <v>0.18612399999983609</v>
      </c>
      <c r="O37">
        <f t="shared" ca="1" si="1"/>
        <v>0.18636135421372441</v>
      </c>
      <c r="Q37" s="2">
        <f t="shared" si="2"/>
        <v>32552.837</v>
      </c>
    </row>
    <row r="38" spans="1:31" x14ac:dyDescent="0.2">
      <c r="A38" s="52" t="s">
        <v>107</v>
      </c>
      <c r="B38" s="54" t="s">
        <v>35</v>
      </c>
      <c r="C38" s="53">
        <v>47571.341999999997</v>
      </c>
      <c r="D38" s="53" t="s">
        <v>63</v>
      </c>
      <c r="E38">
        <f t="shared" si="0"/>
        <v>11587.113889835699</v>
      </c>
      <c r="F38">
        <f t="shared" si="3"/>
        <v>11587</v>
      </c>
      <c r="G38">
        <f t="shared" si="4"/>
        <v>0.19112399999721674</v>
      </c>
      <c r="I38">
        <f t="shared" si="5"/>
        <v>0.19112399999721674</v>
      </c>
      <c r="O38">
        <f t="shared" ca="1" si="1"/>
        <v>0.18636135421372441</v>
      </c>
      <c r="Q38" s="2">
        <f t="shared" si="2"/>
        <v>32552.841999999997</v>
      </c>
    </row>
    <row r="39" spans="1:31" x14ac:dyDescent="0.2">
      <c r="A39" t="s">
        <v>29</v>
      </c>
      <c r="C39" s="12">
        <v>47613.32</v>
      </c>
      <c r="D39" s="12"/>
      <c r="E39">
        <f t="shared" si="0"/>
        <v>11612.128370084163</v>
      </c>
      <c r="F39">
        <f t="shared" si="3"/>
        <v>11612</v>
      </c>
      <c r="G39">
        <f t="shared" si="4"/>
        <v>0.21542400000180351</v>
      </c>
      <c r="I39">
        <f t="shared" si="5"/>
        <v>0.21542400000180351</v>
      </c>
      <c r="O39">
        <f t="shared" ca="1" si="1"/>
        <v>0.18679586766718989</v>
      </c>
      <c r="Q39" s="2">
        <f t="shared" si="2"/>
        <v>32594.82</v>
      </c>
      <c r="AA39">
        <v>23</v>
      </c>
      <c r="AC39" t="s">
        <v>28</v>
      </c>
      <c r="AE39" t="s">
        <v>30</v>
      </c>
    </row>
    <row r="40" spans="1:31" x14ac:dyDescent="0.2">
      <c r="A40" s="52" t="s">
        <v>132</v>
      </c>
      <c r="B40" s="54" t="s">
        <v>35</v>
      </c>
      <c r="C40" s="53">
        <v>47804.61</v>
      </c>
      <c r="D40" s="53" t="s">
        <v>63</v>
      </c>
      <c r="E40">
        <f t="shared" si="0"/>
        <v>11726.117124353752</v>
      </c>
      <c r="F40">
        <f t="shared" si="3"/>
        <v>11726</v>
      </c>
      <c r="G40">
        <f t="shared" si="4"/>
        <v>0.19655200000124751</v>
      </c>
      <c r="I40">
        <f t="shared" si="5"/>
        <v>0.19655200000124751</v>
      </c>
      <c r="O40">
        <f t="shared" ca="1" si="1"/>
        <v>0.18877724901499252</v>
      </c>
      <c r="Q40" s="2">
        <f t="shared" si="2"/>
        <v>32786.11</v>
      </c>
    </row>
    <row r="41" spans="1:31" x14ac:dyDescent="0.2">
      <c r="A41" s="52" t="s">
        <v>132</v>
      </c>
      <c r="B41" s="54" t="s">
        <v>35</v>
      </c>
      <c r="C41" s="53">
        <v>47863.332999999999</v>
      </c>
      <c r="D41" s="53" t="s">
        <v>63</v>
      </c>
      <c r="E41">
        <f t="shared" si="0"/>
        <v>11761.109866352668</v>
      </c>
      <c r="F41">
        <f t="shared" si="3"/>
        <v>11761</v>
      </c>
      <c r="G41">
        <f t="shared" si="4"/>
        <v>0.18437200000334997</v>
      </c>
      <c r="I41">
        <f t="shared" si="5"/>
        <v>0.18437200000334997</v>
      </c>
      <c r="O41">
        <f t="shared" ca="1" si="1"/>
        <v>0.18938556784984417</v>
      </c>
      <c r="Q41" s="2">
        <f t="shared" si="2"/>
        <v>32844.832999999999</v>
      </c>
    </row>
    <row r="42" spans="1:31" x14ac:dyDescent="0.2">
      <c r="A42" s="52" t="s">
        <v>132</v>
      </c>
      <c r="B42" s="54" t="s">
        <v>35</v>
      </c>
      <c r="C42" s="53">
        <v>47925.417999999998</v>
      </c>
      <c r="D42" s="53" t="s">
        <v>63</v>
      </c>
      <c r="E42">
        <f t="shared" si="0"/>
        <v>11798.106007336657</v>
      </c>
      <c r="F42">
        <f t="shared" si="3"/>
        <v>11798</v>
      </c>
      <c r="G42">
        <f t="shared" si="4"/>
        <v>0.17789600000105565</v>
      </c>
      <c r="I42">
        <f t="shared" si="5"/>
        <v>0.17789600000105565</v>
      </c>
      <c r="O42">
        <f t="shared" ca="1" si="1"/>
        <v>0.19002864776097309</v>
      </c>
      <c r="Q42" s="2">
        <f t="shared" si="2"/>
        <v>32906.917999999998</v>
      </c>
    </row>
    <row r="43" spans="1:31" x14ac:dyDescent="0.2">
      <c r="A43" s="52" t="s">
        <v>132</v>
      </c>
      <c r="B43" s="54" t="s">
        <v>35</v>
      </c>
      <c r="C43" s="53">
        <v>47967.377999999997</v>
      </c>
      <c r="D43" s="53" t="s">
        <v>63</v>
      </c>
      <c r="E43">
        <f t="shared" si="0"/>
        <v>11823.109761475149</v>
      </c>
      <c r="F43">
        <f t="shared" si="3"/>
        <v>11823</v>
      </c>
      <c r="G43">
        <f t="shared" si="4"/>
        <v>0.18419600000197534</v>
      </c>
      <c r="I43">
        <f t="shared" si="5"/>
        <v>0.18419600000197534</v>
      </c>
      <c r="O43">
        <f t="shared" ca="1" si="1"/>
        <v>0.19046316121443857</v>
      </c>
      <c r="Q43" s="2">
        <f t="shared" si="2"/>
        <v>32948.877999999997</v>
      </c>
    </row>
    <row r="44" spans="1:31" x14ac:dyDescent="0.2">
      <c r="A44" s="52" t="s">
        <v>143</v>
      </c>
      <c r="B44" s="54" t="s">
        <v>35</v>
      </c>
      <c r="C44" s="53">
        <v>48306.360999999997</v>
      </c>
      <c r="D44" s="53" t="s">
        <v>63</v>
      </c>
      <c r="E44">
        <f t="shared" si="0"/>
        <v>12025.108035763233</v>
      </c>
      <c r="F44">
        <f t="shared" si="3"/>
        <v>12025</v>
      </c>
      <c r="G44">
        <f t="shared" si="4"/>
        <v>0.18129999999655411</v>
      </c>
      <c r="I44">
        <f t="shared" si="5"/>
        <v>0.18129999999655411</v>
      </c>
      <c r="O44">
        <f t="shared" ca="1" si="1"/>
        <v>0.19397402991843968</v>
      </c>
      <c r="Q44" s="2">
        <f t="shared" si="2"/>
        <v>33287.860999999997</v>
      </c>
    </row>
    <row r="45" spans="1:31" x14ac:dyDescent="0.2">
      <c r="A45" s="52" t="s">
        <v>148</v>
      </c>
      <c r="B45" s="54" t="s">
        <v>35</v>
      </c>
      <c r="C45" s="53">
        <v>48645.341999999997</v>
      </c>
      <c r="D45" s="53" t="s">
        <v>63</v>
      </c>
      <c r="E45">
        <f t="shared" si="0"/>
        <v>12227.105118261319</v>
      </c>
      <c r="F45">
        <f t="shared" si="3"/>
        <v>12227</v>
      </c>
      <c r="G45">
        <f t="shared" si="4"/>
        <v>0.17640399999800138</v>
      </c>
      <c r="I45">
        <f t="shared" si="5"/>
        <v>0.17640399999800138</v>
      </c>
      <c r="O45">
        <f t="shared" ca="1" si="1"/>
        <v>0.19748489862244079</v>
      </c>
      <c r="Q45" s="2">
        <f t="shared" si="2"/>
        <v>33626.841999999997</v>
      </c>
    </row>
    <row r="46" spans="1:31" x14ac:dyDescent="0.2">
      <c r="A46" s="52" t="s">
        <v>143</v>
      </c>
      <c r="B46" s="54" t="s">
        <v>35</v>
      </c>
      <c r="C46" s="53">
        <v>48650.381000000001</v>
      </c>
      <c r="D46" s="53" t="s">
        <v>63</v>
      </c>
      <c r="E46">
        <f t="shared" si="0"/>
        <v>12230.107833158936</v>
      </c>
      <c r="F46">
        <f t="shared" si="3"/>
        <v>12230</v>
      </c>
      <c r="G46">
        <f t="shared" si="4"/>
        <v>0.18096000000514323</v>
      </c>
      <c r="I46">
        <f t="shared" si="5"/>
        <v>0.18096000000514323</v>
      </c>
      <c r="O46">
        <f t="shared" ca="1" si="1"/>
        <v>0.19753704023685664</v>
      </c>
      <c r="Q46" s="2">
        <f t="shared" si="2"/>
        <v>33631.881000000001</v>
      </c>
    </row>
    <row r="47" spans="1:31" x14ac:dyDescent="0.2">
      <c r="A47" s="52" t="s">
        <v>148</v>
      </c>
      <c r="B47" s="54" t="s">
        <v>35</v>
      </c>
      <c r="C47" s="53">
        <v>48989.38</v>
      </c>
      <c r="D47" s="53" t="s">
        <v>63</v>
      </c>
      <c r="E47">
        <f t="shared" si="0"/>
        <v>12432.115641766994</v>
      </c>
      <c r="F47">
        <f t="shared" si="3"/>
        <v>12432</v>
      </c>
      <c r="G47">
        <f t="shared" si="4"/>
        <v>0.19406399999570567</v>
      </c>
      <c r="I47">
        <f t="shared" si="5"/>
        <v>0.19406399999570567</v>
      </c>
      <c r="O47">
        <f t="shared" ca="1" si="1"/>
        <v>0.20104790894085772</v>
      </c>
      <c r="Q47" s="2">
        <f t="shared" si="2"/>
        <v>33970.879999999997</v>
      </c>
    </row>
    <row r="48" spans="1:31" x14ac:dyDescent="0.2">
      <c r="A48" s="52" t="s">
        <v>157</v>
      </c>
      <c r="B48" s="54" t="s">
        <v>35</v>
      </c>
      <c r="C48" s="53">
        <v>50046.614999999998</v>
      </c>
      <c r="D48" s="53" t="s">
        <v>63</v>
      </c>
      <c r="E48">
        <f t="shared" si="0"/>
        <v>13062.116690542192</v>
      </c>
      <c r="F48">
        <f t="shared" si="3"/>
        <v>13062</v>
      </c>
      <c r="G48">
        <f t="shared" si="4"/>
        <v>0.19582400000217604</v>
      </c>
      <c r="I48">
        <f t="shared" si="5"/>
        <v>0.19582400000217604</v>
      </c>
      <c r="O48">
        <f t="shared" ca="1" si="1"/>
        <v>0.2119976479681879</v>
      </c>
      <c r="Q48" s="2">
        <f t="shared" si="2"/>
        <v>35028.114999999998</v>
      </c>
    </row>
    <row r="49" spans="1:31" x14ac:dyDescent="0.2">
      <c r="A49" s="11" t="s">
        <v>32</v>
      </c>
      <c r="B49" s="11"/>
      <c r="C49" s="29">
        <v>50152.344799999999</v>
      </c>
      <c r="D49" s="29">
        <v>6.9999999999999999E-4</v>
      </c>
      <c r="E49">
        <f t="shared" si="0"/>
        <v>13125.120549558203</v>
      </c>
      <c r="F49">
        <f t="shared" si="3"/>
        <v>13125</v>
      </c>
      <c r="G49">
        <f t="shared" si="4"/>
        <v>0.20229999999719439</v>
      </c>
      <c r="J49">
        <f>G49</f>
        <v>0.20229999999719439</v>
      </c>
      <c r="O49">
        <f t="shared" ca="1" si="1"/>
        <v>0.21309262187092093</v>
      </c>
      <c r="Q49" s="2">
        <f t="shared" si="2"/>
        <v>35133.844799999999</v>
      </c>
      <c r="AA49">
        <v>25</v>
      </c>
      <c r="AC49" t="s">
        <v>31</v>
      </c>
      <c r="AE49" t="s">
        <v>30</v>
      </c>
    </row>
    <row r="50" spans="1:31" x14ac:dyDescent="0.2">
      <c r="A50" s="52" t="s">
        <v>157</v>
      </c>
      <c r="B50" s="54" t="s">
        <v>35</v>
      </c>
      <c r="C50" s="53">
        <v>51585.4954</v>
      </c>
      <c r="D50" s="53" t="s">
        <v>63</v>
      </c>
      <c r="E50">
        <f t="shared" si="0"/>
        <v>13979.127824244346</v>
      </c>
      <c r="F50">
        <f t="shared" si="3"/>
        <v>13979</v>
      </c>
      <c r="G50">
        <f t="shared" si="4"/>
        <v>0.21450800000457093</v>
      </c>
      <c r="K50">
        <f>G50</f>
        <v>0.21450800000457093</v>
      </c>
      <c r="O50">
        <f t="shared" ca="1" si="1"/>
        <v>0.22793560144130182</v>
      </c>
      <c r="Q50" s="2">
        <f t="shared" si="2"/>
        <v>36566.9954</v>
      </c>
    </row>
    <row r="51" spans="1:31" x14ac:dyDescent="0.2">
      <c r="A51" s="29" t="s">
        <v>34</v>
      </c>
      <c r="B51" s="30" t="s">
        <v>35</v>
      </c>
      <c r="C51" s="31">
        <v>51850.458400000003</v>
      </c>
      <c r="D51" s="31">
        <v>2.3999999999999998E-3</v>
      </c>
      <c r="E51">
        <f t="shared" si="0"/>
        <v>14137.017950740938</v>
      </c>
      <c r="F51">
        <f t="shared" si="3"/>
        <v>14137</v>
      </c>
      <c r="O51">
        <f t="shared" ca="1" si="1"/>
        <v>0.23068172646720367</v>
      </c>
      <c r="Q51" s="2">
        <f t="shared" si="2"/>
        <v>36831.958400000003</v>
      </c>
      <c r="R51" t="s">
        <v>55</v>
      </c>
      <c r="U51" s="10">
        <v>3.0124000004434492E-2</v>
      </c>
    </row>
    <row r="52" spans="1:31" x14ac:dyDescent="0.2">
      <c r="A52" s="52" t="s">
        <v>178</v>
      </c>
      <c r="B52" s="54" t="s">
        <v>35</v>
      </c>
      <c r="C52" s="53">
        <v>51951.332399999999</v>
      </c>
      <c r="D52" s="53" t="s">
        <v>63</v>
      </c>
      <c r="E52">
        <f t="shared" si="0"/>
        <v>14197.128262823064</v>
      </c>
      <c r="F52">
        <f t="shared" si="3"/>
        <v>14197</v>
      </c>
      <c r="G52">
        <f t="shared" ref="G52:G65" si="6">+C52-(C$7+F52*C$8)</f>
        <v>0.21524399999907473</v>
      </c>
      <c r="K52">
        <f>G52</f>
        <v>0.21524399999907473</v>
      </c>
      <c r="O52">
        <f t="shared" ca="1" si="1"/>
        <v>0.23172455875552081</v>
      </c>
      <c r="Q52" s="2">
        <f t="shared" si="2"/>
        <v>36932.832399999999</v>
      </c>
    </row>
    <row r="53" spans="1:31" x14ac:dyDescent="0.2">
      <c r="A53" s="52" t="s">
        <v>182</v>
      </c>
      <c r="B53" s="54" t="s">
        <v>35</v>
      </c>
      <c r="C53" s="53">
        <v>52253.400999999998</v>
      </c>
      <c r="D53" s="53" t="s">
        <v>63</v>
      </c>
      <c r="E53">
        <f t="shared" si="0"/>
        <v>14377.12943077726</v>
      </c>
      <c r="F53">
        <f t="shared" si="3"/>
        <v>14377</v>
      </c>
      <c r="G53">
        <f t="shared" si="6"/>
        <v>0.21720400000049267</v>
      </c>
      <c r="I53">
        <f>G53</f>
        <v>0.21720400000049267</v>
      </c>
      <c r="O53">
        <f t="shared" ca="1" si="1"/>
        <v>0.23485305562047229</v>
      </c>
      <c r="Q53" s="2">
        <f t="shared" si="2"/>
        <v>37234.900999999998</v>
      </c>
    </row>
    <row r="54" spans="1:31" x14ac:dyDescent="0.2">
      <c r="A54" s="29" t="s">
        <v>45</v>
      </c>
      <c r="B54" s="32" t="s">
        <v>35</v>
      </c>
      <c r="C54" s="29">
        <v>52320.528019999998</v>
      </c>
      <c r="D54" s="29">
        <v>1.8E-3</v>
      </c>
      <c r="E54">
        <f t="shared" si="0"/>
        <v>14417.130086261759</v>
      </c>
      <c r="F54">
        <f t="shared" si="3"/>
        <v>14417</v>
      </c>
      <c r="G54">
        <f t="shared" si="6"/>
        <v>0.21830399999453221</v>
      </c>
      <c r="K54">
        <f>G54</f>
        <v>0.21830399999453221</v>
      </c>
      <c r="O54">
        <f t="shared" ca="1" si="1"/>
        <v>0.23554827714601706</v>
      </c>
      <c r="Q54" s="2">
        <f t="shared" si="2"/>
        <v>37302.028019999998</v>
      </c>
    </row>
    <row r="55" spans="1:31" x14ac:dyDescent="0.2">
      <c r="A55" s="33" t="s">
        <v>43</v>
      </c>
      <c r="B55" s="30" t="s">
        <v>35</v>
      </c>
      <c r="C55" s="29">
        <v>54092.681799999998</v>
      </c>
      <c r="D55" s="29">
        <v>5.0000000000000001E-4</v>
      </c>
      <c r="E55">
        <f t="shared" si="0"/>
        <v>15473.147660397055</v>
      </c>
      <c r="F55">
        <f t="shared" si="3"/>
        <v>15473</v>
      </c>
      <c r="G55">
        <f t="shared" si="6"/>
        <v>0.24779600000329083</v>
      </c>
      <c r="K55">
        <f>G55</f>
        <v>0.24779600000329083</v>
      </c>
      <c r="O55">
        <f t="shared" ca="1" si="1"/>
        <v>0.25390212542039908</v>
      </c>
      <c r="Q55" s="2">
        <f t="shared" si="2"/>
        <v>39074.181799999998</v>
      </c>
      <c r="R55" t="s">
        <v>57</v>
      </c>
    </row>
    <row r="56" spans="1:31" x14ac:dyDescent="0.2">
      <c r="A56" s="52" t="s">
        <v>201</v>
      </c>
      <c r="B56" s="54" t="s">
        <v>50</v>
      </c>
      <c r="C56" s="53">
        <v>54454.341699999997</v>
      </c>
      <c r="D56" s="53" t="s">
        <v>63</v>
      </c>
      <c r="E56">
        <f t="shared" si="0"/>
        <v>15688.658985977398</v>
      </c>
      <c r="F56">
        <f t="shared" si="3"/>
        <v>15688.5</v>
      </c>
      <c r="G56">
        <f t="shared" si="6"/>
        <v>0.26680199999827892</v>
      </c>
      <c r="K56">
        <f>G56</f>
        <v>0.26680199999827892</v>
      </c>
      <c r="O56">
        <f t="shared" ca="1" si="1"/>
        <v>0.25764763138927155</v>
      </c>
      <c r="Q56" s="2">
        <f t="shared" si="2"/>
        <v>39435.841699999997</v>
      </c>
    </row>
    <row r="57" spans="1:31" ht="12" customHeight="1" x14ac:dyDescent="0.2">
      <c r="A57" s="33" t="s">
        <v>49</v>
      </c>
      <c r="B57" s="32" t="s">
        <v>35</v>
      </c>
      <c r="C57" s="29">
        <v>55601.356540000001</v>
      </c>
      <c r="D57" s="29">
        <v>2.0000000000000001E-4</v>
      </c>
      <c r="E57">
        <f t="shared" si="0"/>
        <v>16372.159392377787</v>
      </c>
      <c r="F57">
        <f t="shared" si="3"/>
        <v>16372</v>
      </c>
      <c r="G57">
        <f t="shared" si="6"/>
        <v>0.26748400000360562</v>
      </c>
      <c r="K57">
        <f>G57</f>
        <v>0.26748400000360562</v>
      </c>
      <c r="O57">
        <f t="shared" ca="1" si="1"/>
        <v>0.26952722920701783</v>
      </c>
      <c r="Q57" s="2">
        <f t="shared" si="2"/>
        <v>40582.856540000001</v>
      </c>
    </row>
    <row r="58" spans="1:31" ht="12" customHeight="1" x14ac:dyDescent="0.2">
      <c r="A58" s="36" t="s">
        <v>52</v>
      </c>
      <c r="B58" s="38"/>
      <c r="C58" s="36">
        <v>55601.35671</v>
      </c>
      <c r="D58" s="36">
        <v>1.6000000000000001E-4</v>
      </c>
      <c r="E58">
        <f t="shared" si="0"/>
        <v>16372.159493679937</v>
      </c>
      <c r="F58">
        <f t="shared" si="3"/>
        <v>16372</v>
      </c>
      <c r="G58">
        <f t="shared" si="6"/>
        <v>0.26765400000294903</v>
      </c>
      <c r="K58">
        <f>G58</f>
        <v>0.26765400000294903</v>
      </c>
      <c r="O58">
        <f t="shared" ca="1" si="1"/>
        <v>0.26952722920701783</v>
      </c>
      <c r="Q58" s="2">
        <f t="shared" si="2"/>
        <v>40582.85671</v>
      </c>
    </row>
    <row r="59" spans="1:31" ht="12" customHeight="1" x14ac:dyDescent="0.2">
      <c r="A59" s="34" t="s">
        <v>48</v>
      </c>
      <c r="B59" s="35" t="s">
        <v>35</v>
      </c>
      <c r="C59" s="34">
        <v>55604.714099999997</v>
      </c>
      <c r="D59" s="34">
        <v>5.0000000000000001E-4</v>
      </c>
      <c r="E59">
        <f t="shared" si="0"/>
        <v>16374.160145589065</v>
      </c>
      <c r="F59">
        <f t="shared" si="3"/>
        <v>16374</v>
      </c>
      <c r="G59">
        <f t="shared" si="6"/>
        <v>0.26874800000223331</v>
      </c>
      <c r="J59">
        <f>G59</f>
        <v>0.26874800000223331</v>
      </c>
      <c r="O59">
        <f t="shared" ca="1" si="1"/>
        <v>0.26956199028329508</v>
      </c>
      <c r="Q59" s="2">
        <f t="shared" si="2"/>
        <v>40586.214099999997</v>
      </c>
      <c r="R59" t="s">
        <v>55</v>
      </c>
    </row>
    <row r="60" spans="1:31" ht="12" customHeight="1" x14ac:dyDescent="0.2">
      <c r="A60" s="33" t="s">
        <v>49</v>
      </c>
      <c r="B60" s="32" t="s">
        <v>50</v>
      </c>
      <c r="C60" s="29">
        <v>55622.338490000002</v>
      </c>
      <c r="D60" s="29">
        <v>5.9999999999999995E-4</v>
      </c>
      <c r="E60">
        <f t="shared" si="0"/>
        <v>16384.662431442281</v>
      </c>
      <c r="F60">
        <f t="shared" si="3"/>
        <v>16384.5</v>
      </c>
      <c r="G60">
        <f t="shared" si="6"/>
        <v>0.27258399999846006</v>
      </c>
      <c r="K60">
        <f t="shared" ref="K60:K65" si="7">G60</f>
        <v>0.27258399999846006</v>
      </c>
      <c r="O60">
        <f t="shared" ca="1" si="1"/>
        <v>0.26974448593375056</v>
      </c>
      <c r="Q60" s="2">
        <f t="shared" si="2"/>
        <v>40603.838490000002</v>
      </c>
    </row>
    <row r="61" spans="1:31" ht="12" customHeight="1" x14ac:dyDescent="0.2">
      <c r="A61" s="33" t="s">
        <v>49</v>
      </c>
      <c r="B61" s="32" t="s">
        <v>50</v>
      </c>
      <c r="C61" s="29">
        <v>55627.375419999997</v>
      </c>
      <c r="D61" s="29">
        <v>4.0000000000000002E-4</v>
      </c>
      <c r="E61">
        <f t="shared" si="0"/>
        <v>16387.663912837244</v>
      </c>
      <c r="F61">
        <f t="shared" si="3"/>
        <v>16387.5</v>
      </c>
      <c r="G61">
        <f t="shared" si="6"/>
        <v>0.27506999999604886</v>
      </c>
      <c r="K61">
        <f t="shared" si="7"/>
        <v>0.27506999999604886</v>
      </c>
      <c r="O61">
        <f t="shared" ca="1" si="1"/>
        <v>0.26979662754816641</v>
      </c>
      <c r="Q61" s="2">
        <f t="shared" si="2"/>
        <v>40608.875419999997</v>
      </c>
    </row>
    <row r="62" spans="1:31" ht="12" customHeight="1" x14ac:dyDescent="0.2">
      <c r="A62" s="33" t="s">
        <v>49</v>
      </c>
      <c r="B62" s="32" t="s">
        <v>35</v>
      </c>
      <c r="C62" s="29">
        <v>55960.483699999997</v>
      </c>
      <c r="D62" s="29">
        <v>2.0000000000000001E-4</v>
      </c>
      <c r="E62">
        <f t="shared" si="0"/>
        <v>16586.161470859541</v>
      </c>
      <c r="F62">
        <f t="shared" si="3"/>
        <v>16586</v>
      </c>
      <c r="G62">
        <f t="shared" si="6"/>
        <v>0.27097199999843724</v>
      </c>
      <c r="K62">
        <f t="shared" si="7"/>
        <v>0.27097199999843724</v>
      </c>
      <c r="O62">
        <f t="shared" ca="1" si="1"/>
        <v>0.27324666436868233</v>
      </c>
      <c r="Q62" s="2">
        <f t="shared" si="2"/>
        <v>40941.983699999997</v>
      </c>
    </row>
    <row r="63" spans="1:31" ht="12" customHeight="1" x14ac:dyDescent="0.2">
      <c r="A63" s="33" t="s">
        <v>49</v>
      </c>
      <c r="B63" s="32" t="s">
        <v>50</v>
      </c>
      <c r="C63" s="29">
        <v>56013.34749</v>
      </c>
      <c r="D63" s="29">
        <v>8.0000000000000004E-4</v>
      </c>
      <c r="E63">
        <f t="shared" si="0"/>
        <v>16617.6627389241</v>
      </c>
      <c r="F63">
        <f t="shared" si="3"/>
        <v>16617.5</v>
      </c>
      <c r="G63">
        <f t="shared" si="6"/>
        <v>0.27309999999852153</v>
      </c>
      <c r="K63">
        <f t="shared" si="7"/>
        <v>0.27309999999852153</v>
      </c>
      <c r="O63">
        <f t="shared" ca="1" si="1"/>
        <v>0.27379415132004886</v>
      </c>
      <c r="Q63" s="2">
        <f t="shared" si="2"/>
        <v>40994.84749</v>
      </c>
    </row>
    <row r="64" spans="1:31" ht="12" customHeight="1" x14ac:dyDescent="0.2">
      <c r="A64" s="33" t="s">
        <v>49</v>
      </c>
      <c r="B64" s="32" t="s">
        <v>50</v>
      </c>
      <c r="C64" s="29">
        <v>56246.622159999999</v>
      </c>
      <c r="D64" s="29">
        <v>8.9999999999999998E-4</v>
      </c>
      <c r="E64">
        <f t="shared" si="0"/>
        <v>16756.66994806179</v>
      </c>
      <c r="F64">
        <f t="shared" si="3"/>
        <v>16756.5</v>
      </c>
      <c r="G64">
        <f t="shared" si="6"/>
        <v>0.28519799999776296</v>
      </c>
      <c r="K64">
        <f t="shared" si="7"/>
        <v>0.28519799999776296</v>
      </c>
      <c r="O64">
        <f t="shared" ca="1" si="1"/>
        <v>0.27621004612131694</v>
      </c>
      <c r="Q64" s="2">
        <f t="shared" si="2"/>
        <v>41228.122159999999</v>
      </c>
    </row>
    <row r="65" spans="1:17" ht="12" customHeight="1" x14ac:dyDescent="0.2">
      <c r="A65" s="37" t="s">
        <v>51</v>
      </c>
      <c r="B65" s="30" t="s">
        <v>35</v>
      </c>
      <c r="C65" s="29">
        <v>56643.5046</v>
      </c>
      <c r="D65" s="31">
        <v>1.9E-3</v>
      </c>
      <c r="E65">
        <f t="shared" si="0"/>
        <v>16993.170209063803</v>
      </c>
      <c r="F65">
        <f t="shared" si="3"/>
        <v>16993</v>
      </c>
      <c r="G65">
        <f t="shared" si="6"/>
        <v>0.28563600000052247</v>
      </c>
      <c r="K65">
        <f t="shared" si="7"/>
        <v>0.28563600000052247</v>
      </c>
      <c r="O65">
        <f t="shared" ca="1" si="1"/>
        <v>0.28032054339110041</v>
      </c>
      <c r="Q65" s="2">
        <f t="shared" si="2"/>
        <v>41625.0046</v>
      </c>
    </row>
    <row r="66" spans="1:17" s="60" customFormat="1" ht="12" customHeight="1" x14ac:dyDescent="0.2">
      <c r="A66" s="56" t="s">
        <v>240</v>
      </c>
      <c r="B66" s="57" t="s">
        <v>35</v>
      </c>
      <c r="C66" s="58">
        <v>59927.7425</v>
      </c>
      <c r="D66" s="59">
        <v>5.9999999999999995E-4</v>
      </c>
      <c r="E66">
        <f t="shared" ref="E66" si="8">+(C66-C$7)/C$8</f>
        <v>18950.231147669932</v>
      </c>
      <c r="F66">
        <f t="shared" ref="F66" si="9">ROUND(2*E66,0)/2</f>
        <v>18950</v>
      </c>
      <c r="G66">
        <f t="shared" ref="G66" si="10">+C66-(C$7+F66*C$8)</f>
        <v>0.38790000000153668</v>
      </c>
      <c r="H66"/>
      <c r="I66"/>
      <c r="J66"/>
      <c r="K66">
        <f t="shared" ref="K66" si="11">G66</f>
        <v>0.38790000000153668</v>
      </c>
      <c r="L66"/>
      <c r="M66"/>
      <c r="N66"/>
      <c r="O66">
        <f t="shared" ref="O66" ca="1" si="12">+C$11+C$12*F66</f>
        <v>0.31433425652837843</v>
      </c>
      <c r="P66"/>
      <c r="Q66" s="2">
        <f t="shared" ref="Q66" si="13">+C66-15018.5</f>
        <v>44909.2425</v>
      </c>
    </row>
    <row r="67" spans="1:17" ht="12" customHeight="1" x14ac:dyDescent="0.2">
      <c r="B67" s="5"/>
      <c r="C67" s="12"/>
      <c r="D67" s="12"/>
    </row>
    <row r="68" spans="1:17" ht="12" customHeight="1" x14ac:dyDescent="0.2">
      <c r="B68" s="5"/>
      <c r="C68" s="12"/>
      <c r="D68" s="12"/>
    </row>
    <row r="69" spans="1:17" ht="12" customHeight="1" x14ac:dyDescent="0.2">
      <c r="B69" s="5"/>
      <c r="C69" s="12"/>
      <c r="D69" s="12"/>
    </row>
    <row r="70" spans="1:17" ht="12" customHeight="1" x14ac:dyDescent="0.2">
      <c r="B70" s="5"/>
      <c r="C70" s="12"/>
      <c r="D70" s="12"/>
    </row>
    <row r="71" spans="1:17" ht="12" customHeight="1" x14ac:dyDescent="0.2">
      <c r="B71" s="5"/>
      <c r="C71" s="12"/>
      <c r="D71" s="12"/>
    </row>
    <row r="72" spans="1:17" ht="12" customHeight="1" x14ac:dyDescent="0.2">
      <c r="B72" s="5"/>
      <c r="C72" s="12"/>
      <c r="D72" s="12"/>
    </row>
    <row r="73" spans="1:17" ht="12" customHeight="1" x14ac:dyDescent="0.2">
      <c r="B73" s="5"/>
      <c r="C73" s="12"/>
      <c r="D73" s="12"/>
    </row>
    <row r="74" spans="1:17" ht="12" customHeight="1" x14ac:dyDescent="0.2">
      <c r="B74" s="5"/>
      <c r="C74" s="12"/>
      <c r="D74" s="12"/>
    </row>
    <row r="75" spans="1:17" ht="12" customHeight="1" x14ac:dyDescent="0.2">
      <c r="B75" s="5"/>
      <c r="C75" s="12"/>
      <c r="D75" s="12"/>
    </row>
    <row r="76" spans="1:17" ht="12" customHeight="1" x14ac:dyDescent="0.2">
      <c r="B76" s="5"/>
      <c r="C76" s="12"/>
      <c r="D76" s="12"/>
    </row>
    <row r="77" spans="1:17" ht="12" customHeight="1" x14ac:dyDescent="0.2">
      <c r="B77" s="5"/>
      <c r="C77" s="12"/>
      <c r="D77" s="12"/>
    </row>
    <row r="78" spans="1:17" ht="12" customHeight="1" x14ac:dyDescent="0.2">
      <c r="B78" s="5"/>
      <c r="C78" s="12"/>
      <c r="D78" s="12"/>
    </row>
    <row r="79" spans="1:17" ht="12" customHeight="1" x14ac:dyDescent="0.2">
      <c r="B79" s="5"/>
      <c r="C79" s="12"/>
      <c r="D79" s="12"/>
    </row>
    <row r="80" spans="1:17" ht="12" customHeight="1" x14ac:dyDescent="0.2">
      <c r="C80" s="12"/>
      <c r="D80" s="12"/>
    </row>
    <row r="81" spans="3:4" ht="12" customHeight="1" x14ac:dyDescent="0.2">
      <c r="C81" s="12"/>
      <c r="D81" s="12"/>
    </row>
    <row r="82" spans="3:4" ht="12" customHeight="1" x14ac:dyDescent="0.2">
      <c r="C82" s="12"/>
      <c r="D82" s="12"/>
    </row>
    <row r="83" spans="3:4" ht="12" customHeight="1" x14ac:dyDescent="0.2">
      <c r="C83" s="12"/>
      <c r="D83" s="12"/>
    </row>
    <row r="84" spans="3:4" ht="12" customHeight="1" x14ac:dyDescent="0.2">
      <c r="C84" s="12"/>
      <c r="D84" s="12"/>
    </row>
    <row r="85" spans="3:4" ht="12" customHeight="1" x14ac:dyDescent="0.2">
      <c r="C85" s="12"/>
      <c r="D85" s="12"/>
    </row>
    <row r="86" spans="3:4" ht="12" customHeight="1" x14ac:dyDescent="0.2">
      <c r="C86" s="12"/>
      <c r="D86" s="12"/>
    </row>
    <row r="87" spans="3:4" ht="12" customHeight="1" x14ac:dyDescent="0.2">
      <c r="C87" s="12"/>
      <c r="D87" s="12"/>
    </row>
    <row r="88" spans="3:4" ht="12" customHeight="1" x14ac:dyDescent="0.2">
      <c r="C88" s="12"/>
      <c r="D88" s="12"/>
    </row>
    <row r="89" spans="3:4" ht="12" customHeight="1" x14ac:dyDescent="0.2">
      <c r="C89" s="12"/>
      <c r="D89" s="12"/>
    </row>
    <row r="90" spans="3:4" ht="12" customHeight="1" x14ac:dyDescent="0.2">
      <c r="C90" s="12"/>
      <c r="D90" s="12"/>
    </row>
    <row r="91" spans="3:4" ht="12" customHeight="1" x14ac:dyDescent="0.2">
      <c r="C91" s="12"/>
      <c r="D91" s="12"/>
    </row>
    <row r="92" spans="3:4" ht="12" customHeight="1" x14ac:dyDescent="0.2">
      <c r="C92" s="12"/>
      <c r="D92" s="12"/>
    </row>
    <row r="93" spans="3:4" ht="12" customHeight="1" x14ac:dyDescent="0.2">
      <c r="C93" s="12"/>
      <c r="D93" s="12"/>
    </row>
    <row r="94" spans="3:4" ht="12" customHeight="1" x14ac:dyDescent="0.2">
      <c r="C94" s="12"/>
      <c r="D94" s="12"/>
    </row>
    <row r="95" spans="3:4" ht="12" customHeight="1" x14ac:dyDescent="0.2">
      <c r="C95" s="12"/>
      <c r="D95" s="12"/>
    </row>
    <row r="96" spans="3:4" ht="12" customHeight="1" x14ac:dyDescent="0.2">
      <c r="C96" s="12"/>
      <c r="D96" s="12"/>
    </row>
    <row r="97" spans="3:4" ht="12" customHeight="1" x14ac:dyDescent="0.2">
      <c r="C97" s="12"/>
      <c r="D97" s="12"/>
    </row>
    <row r="98" spans="3:4" ht="12" customHeight="1" x14ac:dyDescent="0.2">
      <c r="C98" s="12"/>
      <c r="D98" s="12"/>
    </row>
    <row r="99" spans="3:4" ht="12" customHeight="1" x14ac:dyDescent="0.2">
      <c r="C99" s="12"/>
      <c r="D99" s="12"/>
    </row>
    <row r="100" spans="3:4" ht="12" customHeight="1" x14ac:dyDescent="0.2">
      <c r="C100" s="12"/>
      <c r="D100" s="12"/>
    </row>
    <row r="101" spans="3:4" ht="12" customHeight="1" x14ac:dyDescent="0.2">
      <c r="C101" s="12"/>
      <c r="D101" s="12"/>
    </row>
    <row r="102" spans="3:4" ht="12" customHeight="1" x14ac:dyDescent="0.2">
      <c r="C102" s="12"/>
      <c r="D102" s="12"/>
    </row>
    <row r="103" spans="3:4" ht="12" customHeight="1" x14ac:dyDescent="0.2">
      <c r="C103" s="12"/>
      <c r="D103" s="12"/>
    </row>
    <row r="104" spans="3:4" ht="12" customHeight="1" x14ac:dyDescent="0.2">
      <c r="C104" s="12"/>
      <c r="D104" s="12"/>
    </row>
    <row r="105" spans="3:4" ht="12" customHeight="1" x14ac:dyDescent="0.2">
      <c r="C105" s="12"/>
      <c r="D105" s="12"/>
    </row>
    <row r="106" spans="3:4" ht="12" customHeight="1" x14ac:dyDescent="0.2">
      <c r="C106" s="12"/>
      <c r="D106" s="12"/>
    </row>
    <row r="107" spans="3:4" ht="12" customHeight="1" x14ac:dyDescent="0.2">
      <c r="C107" s="12"/>
      <c r="D107" s="12"/>
    </row>
    <row r="108" spans="3:4" ht="12" customHeight="1" x14ac:dyDescent="0.2">
      <c r="C108" s="12"/>
      <c r="D108" s="12"/>
    </row>
    <row r="109" spans="3:4" ht="12" customHeight="1" x14ac:dyDescent="0.2">
      <c r="C109" s="12"/>
      <c r="D109" s="12"/>
    </row>
    <row r="110" spans="3:4" ht="12" customHeight="1" x14ac:dyDescent="0.2">
      <c r="C110" s="12"/>
      <c r="D110" s="12"/>
    </row>
    <row r="111" spans="3:4" ht="12" customHeight="1" x14ac:dyDescent="0.2">
      <c r="C111" s="12"/>
      <c r="D111" s="12"/>
    </row>
    <row r="112" spans="3:4" ht="12" customHeight="1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2"/>
  <sheetViews>
    <sheetView topLeftCell="A6" workbookViewId="0">
      <selection activeCell="A24" sqref="A24:D53"/>
    </sheetView>
  </sheetViews>
  <sheetFormatPr defaultRowHeight="12.75" x14ac:dyDescent="0.2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9" t="s">
        <v>53</v>
      </c>
      <c r="I1" s="40" t="s">
        <v>54</v>
      </c>
      <c r="J1" s="41" t="s">
        <v>55</v>
      </c>
    </row>
    <row r="2" spans="1:16" x14ac:dyDescent="0.2">
      <c r="I2" s="42" t="s">
        <v>56</v>
      </c>
      <c r="J2" s="43" t="s">
        <v>57</v>
      </c>
    </row>
    <row r="3" spans="1:16" x14ac:dyDescent="0.2">
      <c r="A3" s="44" t="s">
        <v>58</v>
      </c>
      <c r="I3" s="42" t="s">
        <v>59</v>
      </c>
      <c r="J3" s="43" t="s">
        <v>60</v>
      </c>
    </row>
    <row r="4" spans="1:16" x14ac:dyDescent="0.2">
      <c r="I4" s="42" t="s">
        <v>61</v>
      </c>
      <c r="J4" s="43" t="s">
        <v>60</v>
      </c>
    </row>
    <row r="5" spans="1:16" ht="13.5" thickBot="1" x14ac:dyDescent="0.25">
      <c r="I5" s="45" t="s">
        <v>62</v>
      </c>
      <c r="J5" s="46" t="s">
        <v>63</v>
      </c>
    </row>
    <row r="10" spans="1:16" ht="13.5" thickBot="1" x14ac:dyDescent="0.25"/>
    <row r="11" spans="1:16" ht="12.75" customHeight="1" thickBot="1" x14ac:dyDescent="0.25">
      <c r="A11" s="12" t="str">
        <f t="shared" ref="A11:A53" si="0">P11</f>
        <v> BBS 91 </v>
      </c>
      <c r="B11" s="5" t="str">
        <f t="shared" ref="B11:B53" si="1">IF(H11=INT(H11),"I","II")</f>
        <v>I</v>
      </c>
      <c r="C11" s="12">
        <f t="shared" ref="C11:C53" si="2">1*G11</f>
        <v>47613.32</v>
      </c>
      <c r="D11" s="14" t="str">
        <f t="shared" ref="D11:D53" si="3">VLOOKUP(F11,I$1:J$5,2,FALSE)</f>
        <v>vis</v>
      </c>
      <c r="E11" s="47">
        <f>VLOOKUP(C11,Active!C$21:E$973,3,FALSE)</f>
        <v>11612.128370084163</v>
      </c>
      <c r="F11" s="5" t="s">
        <v>62</v>
      </c>
      <c r="G11" s="14" t="str">
        <f t="shared" ref="G11:G53" si="4">MID(I11,3,LEN(I11)-3)</f>
        <v>47613.32</v>
      </c>
      <c r="H11" s="12">
        <f t="shared" ref="H11:H53" si="5">1*K11</f>
        <v>11612</v>
      </c>
      <c r="I11" s="48" t="s">
        <v>124</v>
      </c>
      <c r="J11" s="49" t="s">
        <v>125</v>
      </c>
      <c r="K11" s="48">
        <v>11612</v>
      </c>
      <c r="L11" s="48" t="s">
        <v>126</v>
      </c>
      <c r="M11" s="49" t="s">
        <v>105</v>
      </c>
      <c r="N11" s="49"/>
      <c r="O11" s="50" t="s">
        <v>127</v>
      </c>
      <c r="P11" s="50" t="s">
        <v>128</v>
      </c>
    </row>
    <row r="12" spans="1:16" ht="12.75" customHeight="1" thickBot="1" x14ac:dyDescent="0.25">
      <c r="A12" s="12" t="str">
        <f t="shared" si="0"/>
        <v> BBS 111 </v>
      </c>
      <c r="B12" s="5" t="str">
        <f t="shared" si="1"/>
        <v>I</v>
      </c>
      <c r="C12" s="12">
        <f t="shared" si="2"/>
        <v>50152.344799999999</v>
      </c>
      <c r="D12" s="14" t="str">
        <f t="shared" si="3"/>
        <v>vis</v>
      </c>
      <c r="E12" s="47">
        <f>VLOOKUP(C12,Active!C$21:E$973,3,FALSE)</f>
        <v>13125.120549558203</v>
      </c>
      <c r="F12" s="5" t="s">
        <v>62</v>
      </c>
      <c r="G12" s="14" t="str">
        <f t="shared" si="4"/>
        <v>50152.3448</v>
      </c>
      <c r="H12" s="12">
        <f t="shared" si="5"/>
        <v>13125</v>
      </c>
      <c r="I12" s="48" t="s">
        <v>158</v>
      </c>
      <c r="J12" s="49" t="s">
        <v>159</v>
      </c>
      <c r="K12" s="48">
        <v>13125</v>
      </c>
      <c r="L12" s="48" t="s">
        <v>160</v>
      </c>
      <c r="M12" s="49" t="s">
        <v>161</v>
      </c>
      <c r="N12" s="49" t="s">
        <v>162</v>
      </c>
      <c r="O12" s="50" t="s">
        <v>163</v>
      </c>
      <c r="P12" s="50" t="s">
        <v>164</v>
      </c>
    </row>
    <row r="13" spans="1:16" ht="12.75" customHeight="1" thickBot="1" x14ac:dyDescent="0.25">
      <c r="A13" s="12" t="str">
        <f t="shared" si="0"/>
        <v>IBVS 5287 </v>
      </c>
      <c r="B13" s="5" t="str">
        <f t="shared" si="1"/>
        <v>I</v>
      </c>
      <c r="C13" s="12">
        <f t="shared" si="2"/>
        <v>51850.458400000003</v>
      </c>
      <c r="D13" s="14" t="str">
        <f t="shared" si="3"/>
        <v>vis</v>
      </c>
      <c r="E13" s="47">
        <f>VLOOKUP(C13,Active!C$21:E$973,3,FALSE)</f>
        <v>14137.017950740938</v>
      </c>
      <c r="F13" s="5" t="s">
        <v>62</v>
      </c>
      <c r="G13" s="14" t="str">
        <f t="shared" si="4"/>
        <v>51850.4584</v>
      </c>
      <c r="H13" s="12">
        <f t="shared" si="5"/>
        <v>14137</v>
      </c>
      <c r="I13" s="48" t="s">
        <v>169</v>
      </c>
      <c r="J13" s="49" t="s">
        <v>170</v>
      </c>
      <c r="K13" s="48">
        <v>14137</v>
      </c>
      <c r="L13" s="48" t="s">
        <v>171</v>
      </c>
      <c r="M13" s="49" t="s">
        <v>161</v>
      </c>
      <c r="N13" s="49" t="s">
        <v>162</v>
      </c>
      <c r="O13" s="50" t="s">
        <v>172</v>
      </c>
      <c r="P13" s="51" t="s">
        <v>173</v>
      </c>
    </row>
    <row r="14" spans="1:16" ht="12.75" customHeight="1" thickBot="1" x14ac:dyDescent="0.25">
      <c r="A14" s="12" t="str">
        <f t="shared" si="0"/>
        <v>OEJV 0074 </v>
      </c>
      <c r="B14" s="5" t="str">
        <f t="shared" si="1"/>
        <v>I</v>
      </c>
      <c r="C14" s="12">
        <f t="shared" si="2"/>
        <v>52320.528019999998</v>
      </c>
      <c r="D14" s="14" t="str">
        <f t="shared" si="3"/>
        <v>vis</v>
      </c>
      <c r="E14" s="47">
        <f>VLOOKUP(C14,Active!C$21:E$973,3,FALSE)</f>
        <v>14417.130086261759</v>
      </c>
      <c r="F14" s="5" t="s">
        <v>62</v>
      </c>
      <c r="G14" s="14" t="str">
        <f t="shared" si="4"/>
        <v>52320.52802</v>
      </c>
      <c r="H14" s="12">
        <f t="shared" si="5"/>
        <v>14417</v>
      </c>
      <c r="I14" s="48" t="s">
        <v>183</v>
      </c>
      <c r="J14" s="49" t="s">
        <v>184</v>
      </c>
      <c r="K14" s="48">
        <v>14417</v>
      </c>
      <c r="L14" s="48" t="s">
        <v>185</v>
      </c>
      <c r="M14" s="49" t="s">
        <v>186</v>
      </c>
      <c r="N14" s="49" t="s">
        <v>187</v>
      </c>
      <c r="O14" s="50" t="s">
        <v>188</v>
      </c>
      <c r="P14" s="51" t="s">
        <v>189</v>
      </c>
    </row>
    <row r="15" spans="1:16" ht="12.75" customHeight="1" thickBot="1" x14ac:dyDescent="0.25">
      <c r="A15" s="12" t="str">
        <f t="shared" si="0"/>
        <v>BAVM 183 </v>
      </c>
      <c r="B15" s="5" t="str">
        <f t="shared" si="1"/>
        <v>I</v>
      </c>
      <c r="C15" s="12">
        <f t="shared" si="2"/>
        <v>54092.681799999998</v>
      </c>
      <c r="D15" s="14" t="str">
        <f t="shared" si="3"/>
        <v>vis</v>
      </c>
      <c r="E15" s="47">
        <f>VLOOKUP(C15,Active!C$21:E$973,3,FALSE)</f>
        <v>15473.147660397055</v>
      </c>
      <c r="F15" s="5" t="s">
        <v>62</v>
      </c>
      <c r="G15" s="14" t="str">
        <f t="shared" si="4"/>
        <v>54092.6818</v>
      </c>
      <c r="H15" s="12">
        <f t="shared" si="5"/>
        <v>15473</v>
      </c>
      <c r="I15" s="48" t="s">
        <v>190</v>
      </c>
      <c r="J15" s="49" t="s">
        <v>191</v>
      </c>
      <c r="K15" s="48">
        <v>15473</v>
      </c>
      <c r="L15" s="48" t="s">
        <v>192</v>
      </c>
      <c r="M15" s="49" t="s">
        <v>186</v>
      </c>
      <c r="N15" s="49" t="s">
        <v>193</v>
      </c>
      <c r="O15" s="50" t="s">
        <v>194</v>
      </c>
      <c r="P15" s="51" t="s">
        <v>195</v>
      </c>
    </row>
    <row r="16" spans="1:16" ht="12.75" customHeight="1" thickBot="1" x14ac:dyDescent="0.25">
      <c r="A16" s="12" t="str">
        <f t="shared" si="0"/>
        <v>OEJV 0160 </v>
      </c>
      <c r="B16" s="5" t="str">
        <f t="shared" si="1"/>
        <v>I</v>
      </c>
      <c r="C16" s="12">
        <f t="shared" si="2"/>
        <v>55601.356540000001</v>
      </c>
      <c r="D16" s="14" t="str">
        <f t="shared" si="3"/>
        <v>vis</v>
      </c>
      <c r="E16" s="47">
        <f>VLOOKUP(C16,Active!C$21:E$973,3,FALSE)</f>
        <v>16372.159392377787</v>
      </c>
      <c r="F16" s="5" t="s">
        <v>62</v>
      </c>
      <c r="G16" s="14" t="str">
        <f t="shared" si="4"/>
        <v>55601.35654</v>
      </c>
      <c r="H16" s="12">
        <f t="shared" si="5"/>
        <v>16372</v>
      </c>
      <c r="I16" s="48" t="s">
        <v>202</v>
      </c>
      <c r="J16" s="49" t="s">
        <v>203</v>
      </c>
      <c r="K16" s="48" t="s">
        <v>204</v>
      </c>
      <c r="L16" s="48" t="s">
        <v>205</v>
      </c>
      <c r="M16" s="49" t="s">
        <v>186</v>
      </c>
      <c r="N16" s="49" t="s">
        <v>206</v>
      </c>
      <c r="O16" s="50" t="s">
        <v>207</v>
      </c>
      <c r="P16" s="51" t="s">
        <v>208</v>
      </c>
    </row>
    <row r="17" spans="1:16" ht="12.75" customHeight="1" thickBot="1" x14ac:dyDescent="0.25">
      <c r="A17" s="12" t="str">
        <f t="shared" si="0"/>
        <v>IBVS 5992 </v>
      </c>
      <c r="B17" s="5" t="str">
        <f t="shared" si="1"/>
        <v>I</v>
      </c>
      <c r="C17" s="12">
        <f t="shared" si="2"/>
        <v>55604.714099999997</v>
      </c>
      <c r="D17" s="14" t="str">
        <f t="shared" si="3"/>
        <v>vis</v>
      </c>
      <c r="E17" s="47">
        <f>VLOOKUP(C17,Active!C$21:E$973,3,FALSE)</f>
        <v>16374.160145589065</v>
      </c>
      <c r="F17" s="5" t="s">
        <v>62</v>
      </c>
      <c r="G17" s="14" t="str">
        <f t="shared" si="4"/>
        <v>55604.7141</v>
      </c>
      <c r="H17" s="12">
        <f t="shared" si="5"/>
        <v>16374</v>
      </c>
      <c r="I17" s="48" t="s">
        <v>209</v>
      </c>
      <c r="J17" s="49" t="s">
        <v>210</v>
      </c>
      <c r="K17" s="48" t="s">
        <v>211</v>
      </c>
      <c r="L17" s="48" t="s">
        <v>212</v>
      </c>
      <c r="M17" s="49" t="s">
        <v>186</v>
      </c>
      <c r="N17" s="49" t="s">
        <v>62</v>
      </c>
      <c r="O17" s="50" t="s">
        <v>177</v>
      </c>
      <c r="P17" s="51" t="s">
        <v>213</v>
      </c>
    </row>
    <row r="18" spans="1:16" ht="12.75" customHeight="1" thickBot="1" x14ac:dyDescent="0.25">
      <c r="A18" s="12" t="str">
        <f t="shared" si="0"/>
        <v>OEJV 0160 </v>
      </c>
      <c r="B18" s="5" t="str">
        <f t="shared" si="1"/>
        <v>II</v>
      </c>
      <c r="C18" s="12">
        <f t="shared" si="2"/>
        <v>55622.338490000002</v>
      </c>
      <c r="D18" s="14" t="str">
        <f t="shared" si="3"/>
        <v>vis</v>
      </c>
      <c r="E18" s="47">
        <f>VLOOKUP(C18,Active!C$21:E$973,3,FALSE)</f>
        <v>16384.662431442281</v>
      </c>
      <c r="F18" s="5" t="s">
        <v>62</v>
      </c>
      <c r="G18" s="14" t="str">
        <f t="shared" si="4"/>
        <v>55622.33849</v>
      </c>
      <c r="H18" s="12">
        <f t="shared" si="5"/>
        <v>16384.5</v>
      </c>
      <c r="I18" s="48" t="s">
        <v>214</v>
      </c>
      <c r="J18" s="49" t="s">
        <v>215</v>
      </c>
      <c r="K18" s="48" t="s">
        <v>216</v>
      </c>
      <c r="L18" s="48" t="s">
        <v>217</v>
      </c>
      <c r="M18" s="49" t="s">
        <v>186</v>
      </c>
      <c r="N18" s="49" t="s">
        <v>206</v>
      </c>
      <c r="O18" s="50" t="s">
        <v>207</v>
      </c>
      <c r="P18" s="51" t="s">
        <v>208</v>
      </c>
    </row>
    <row r="19" spans="1:16" ht="12.75" customHeight="1" thickBot="1" x14ac:dyDescent="0.25">
      <c r="A19" s="12" t="str">
        <f t="shared" si="0"/>
        <v>OEJV 0160 </v>
      </c>
      <c r="B19" s="5" t="str">
        <f t="shared" si="1"/>
        <v>II</v>
      </c>
      <c r="C19" s="12">
        <f t="shared" si="2"/>
        <v>55627.375419999997</v>
      </c>
      <c r="D19" s="14" t="str">
        <f t="shared" si="3"/>
        <v>vis</v>
      </c>
      <c r="E19" s="47">
        <f>VLOOKUP(C19,Active!C$21:E$973,3,FALSE)</f>
        <v>16387.663912837244</v>
      </c>
      <c r="F19" s="5" t="s">
        <v>62</v>
      </c>
      <c r="G19" s="14" t="str">
        <f t="shared" si="4"/>
        <v>55627.37542</v>
      </c>
      <c r="H19" s="12">
        <f t="shared" si="5"/>
        <v>16387.5</v>
      </c>
      <c r="I19" s="48" t="s">
        <v>218</v>
      </c>
      <c r="J19" s="49" t="s">
        <v>219</v>
      </c>
      <c r="K19" s="48" t="s">
        <v>220</v>
      </c>
      <c r="L19" s="48" t="s">
        <v>221</v>
      </c>
      <c r="M19" s="49" t="s">
        <v>186</v>
      </c>
      <c r="N19" s="49" t="s">
        <v>206</v>
      </c>
      <c r="O19" s="50" t="s">
        <v>207</v>
      </c>
      <c r="P19" s="51" t="s">
        <v>208</v>
      </c>
    </row>
    <row r="20" spans="1:16" ht="12.75" customHeight="1" thickBot="1" x14ac:dyDescent="0.25">
      <c r="A20" s="12" t="str">
        <f t="shared" si="0"/>
        <v>OEJV 0160 </v>
      </c>
      <c r="B20" s="5" t="str">
        <f t="shared" si="1"/>
        <v>I</v>
      </c>
      <c r="C20" s="12">
        <f t="shared" si="2"/>
        <v>55960.483699999997</v>
      </c>
      <c r="D20" s="14" t="str">
        <f t="shared" si="3"/>
        <v>vis</v>
      </c>
      <c r="E20" s="47">
        <f>VLOOKUP(C20,Active!C$21:E$973,3,FALSE)</f>
        <v>16586.161470859541</v>
      </c>
      <c r="F20" s="5" t="s">
        <v>62</v>
      </c>
      <c r="G20" s="14" t="str">
        <f t="shared" si="4"/>
        <v>55960.4837</v>
      </c>
      <c r="H20" s="12">
        <f t="shared" si="5"/>
        <v>16586</v>
      </c>
      <c r="I20" s="48" t="s">
        <v>222</v>
      </c>
      <c r="J20" s="49" t="s">
        <v>223</v>
      </c>
      <c r="K20" s="48" t="s">
        <v>224</v>
      </c>
      <c r="L20" s="48" t="s">
        <v>225</v>
      </c>
      <c r="M20" s="49" t="s">
        <v>186</v>
      </c>
      <c r="N20" s="49" t="s">
        <v>206</v>
      </c>
      <c r="O20" s="50" t="s">
        <v>207</v>
      </c>
      <c r="P20" s="51" t="s">
        <v>208</v>
      </c>
    </row>
    <row r="21" spans="1:16" ht="12.75" customHeight="1" thickBot="1" x14ac:dyDescent="0.25">
      <c r="A21" s="12" t="str">
        <f t="shared" si="0"/>
        <v>OEJV 0160 </v>
      </c>
      <c r="B21" s="5" t="str">
        <f t="shared" si="1"/>
        <v>II</v>
      </c>
      <c r="C21" s="12">
        <f t="shared" si="2"/>
        <v>56013.34749</v>
      </c>
      <c r="D21" s="14" t="str">
        <f t="shared" si="3"/>
        <v>vis</v>
      </c>
      <c r="E21" s="47">
        <f>VLOOKUP(C21,Active!C$21:E$973,3,FALSE)</f>
        <v>16617.6627389241</v>
      </c>
      <c r="F21" s="5" t="s">
        <v>62</v>
      </c>
      <c r="G21" s="14" t="str">
        <f t="shared" si="4"/>
        <v>56013.34749</v>
      </c>
      <c r="H21" s="12">
        <f t="shared" si="5"/>
        <v>16617.5</v>
      </c>
      <c r="I21" s="48" t="s">
        <v>226</v>
      </c>
      <c r="J21" s="49" t="s">
        <v>227</v>
      </c>
      <c r="K21" s="48" t="s">
        <v>228</v>
      </c>
      <c r="L21" s="48" t="s">
        <v>229</v>
      </c>
      <c r="M21" s="49" t="s">
        <v>186</v>
      </c>
      <c r="N21" s="49" t="s">
        <v>206</v>
      </c>
      <c r="O21" s="50" t="s">
        <v>207</v>
      </c>
      <c r="P21" s="51" t="s">
        <v>208</v>
      </c>
    </row>
    <row r="22" spans="1:16" ht="12.75" customHeight="1" thickBot="1" x14ac:dyDescent="0.25">
      <c r="A22" s="12" t="str">
        <f t="shared" si="0"/>
        <v>OEJV 0160 </v>
      </c>
      <c r="B22" s="5" t="str">
        <f t="shared" si="1"/>
        <v>II</v>
      </c>
      <c r="C22" s="12">
        <f t="shared" si="2"/>
        <v>56246.622159999999</v>
      </c>
      <c r="D22" s="14" t="str">
        <f t="shared" si="3"/>
        <v>vis</v>
      </c>
      <c r="E22" s="47">
        <f>VLOOKUP(C22,Active!C$21:E$973,3,FALSE)</f>
        <v>16756.66994806179</v>
      </c>
      <c r="F22" s="5" t="s">
        <v>62</v>
      </c>
      <c r="G22" s="14" t="str">
        <f t="shared" si="4"/>
        <v>56246.62216</v>
      </c>
      <c r="H22" s="12">
        <f t="shared" si="5"/>
        <v>16756.5</v>
      </c>
      <c r="I22" s="48" t="s">
        <v>230</v>
      </c>
      <c r="J22" s="49" t="s">
        <v>231</v>
      </c>
      <c r="K22" s="48" t="s">
        <v>232</v>
      </c>
      <c r="L22" s="48" t="s">
        <v>233</v>
      </c>
      <c r="M22" s="49" t="s">
        <v>186</v>
      </c>
      <c r="N22" s="49" t="s">
        <v>206</v>
      </c>
      <c r="O22" s="50" t="s">
        <v>207</v>
      </c>
      <c r="P22" s="51" t="s">
        <v>208</v>
      </c>
    </row>
    <row r="23" spans="1:16" ht="12.75" customHeight="1" thickBot="1" x14ac:dyDescent="0.25">
      <c r="A23" s="12" t="str">
        <f t="shared" si="0"/>
        <v>BAVM 234 </v>
      </c>
      <c r="B23" s="5" t="str">
        <f t="shared" si="1"/>
        <v>I</v>
      </c>
      <c r="C23" s="12">
        <f t="shared" si="2"/>
        <v>56643.5046</v>
      </c>
      <c r="D23" s="14" t="str">
        <f t="shared" si="3"/>
        <v>vis</v>
      </c>
      <c r="E23" s="47">
        <f>VLOOKUP(C23,Active!C$21:E$973,3,FALSE)</f>
        <v>16993.170209063803</v>
      </c>
      <c r="F23" s="5" t="s">
        <v>62</v>
      </c>
      <c r="G23" s="14" t="str">
        <f t="shared" si="4"/>
        <v>56643.5046</v>
      </c>
      <c r="H23" s="12">
        <f t="shared" si="5"/>
        <v>16993</v>
      </c>
      <c r="I23" s="48" t="s">
        <v>234</v>
      </c>
      <c r="J23" s="49" t="s">
        <v>235</v>
      </c>
      <c r="K23" s="48" t="s">
        <v>236</v>
      </c>
      <c r="L23" s="48" t="s">
        <v>237</v>
      </c>
      <c r="M23" s="49" t="s">
        <v>186</v>
      </c>
      <c r="N23" s="49" t="s">
        <v>193</v>
      </c>
      <c r="O23" s="50" t="s">
        <v>194</v>
      </c>
      <c r="P23" s="51" t="s">
        <v>238</v>
      </c>
    </row>
    <row r="24" spans="1:16" ht="12.75" customHeight="1" thickBot="1" x14ac:dyDescent="0.25">
      <c r="A24" s="12" t="str">
        <f t="shared" si="0"/>
        <v> VSS 1.110 </v>
      </c>
      <c r="B24" s="5" t="str">
        <f t="shared" si="1"/>
        <v>I</v>
      </c>
      <c r="C24" s="12">
        <f t="shared" si="2"/>
        <v>28126.39</v>
      </c>
      <c r="D24" s="14" t="str">
        <f t="shared" si="3"/>
        <v>vis</v>
      </c>
      <c r="E24" s="47">
        <f>VLOOKUP(C24,Active!C$21:E$973,3,FALSE)</f>
        <v>-3.5753699912826328E-2</v>
      </c>
      <c r="F24" s="5" t="s">
        <v>62</v>
      </c>
      <c r="G24" s="14" t="str">
        <f t="shared" si="4"/>
        <v>28126.39</v>
      </c>
      <c r="H24" s="12">
        <f t="shared" si="5"/>
        <v>0</v>
      </c>
      <c r="I24" s="48" t="s">
        <v>65</v>
      </c>
      <c r="J24" s="49" t="s">
        <v>66</v>
      </c>
      <c r="K24" s="48">
        <v>0</v>
      </c>
      <c r="L24" s="48" t="s">
        <v>67</v>
      </c>
      <c r="M24" s="49" t="s">
        <v>68</v>
      </c>
      <c r="N24" s="49"/>
      <c r="O24" s="50" t="s">
        <v>69</v>
      </c>
      <c r="P24" s="50" t="s">
        <v>70</v>
      </c>
    </row>
    <row r="25" spans="1:16" ht="12.75" customHeight="1" thickBot="1" x14ac:dyDescent="0.25">
      <c r="A25" s="12" t="str">
        <f t="shared" si="0"/>
        <v> VSS 1.110 </v>
      </c>
      <c r="B25" s="5" t="str">
        <f t="shared" si="1"/>
        <v>I</v>
      </c>
      <c r="C25" s="12">
        <f t="shared" si="2"/>
        <v>28453.63</v>
      </c>
      <c r="D25" s="14" t="str">
        <f t="shared" si="3"/>
        <v>vis</v>
      </c>
      <c r="E25" s="47">
        <f>VLOOKUP(C25,Active!C$21:E$973,3,FALSE)</f>
        <v>194.96492562038645</v>
      </c>
      <c r="F25" s="5" t="s">
        <v>62</v>
      </c>
      <c r="G25" s="14" t="str">
        <f t="shared" si="4"/>
        <v>28453.63</v>
      </c>
      <c r="H25" s="12">
        <f t="shared" si="5"/>
        <v>195</v>
      </c>
      <c r="I25" s="48" t="s">
        <v>71</v>
      </c>
      <c r="J25" s="49" t="s">
        <v>72</v>
      </c>
      <c r="K25" s="48">
        <v>195</v>
      </c>
      <c r="L25" s="48" t="s">
        <v>67</v>
      </c>
      <c r="M25" s="49" t="s">
        <v>68</v>
      </c>
      <c r="N25" s="49"/>
      <c r="O25" s="50" t="s">
        <v>69</v>
      </c>
      <c r="P25" s="50" t="s">
        <v>70</v>
      </c>
    </row>
    <row r="26" spans="1:16" ht="12.75" customHeight="1" thickBot="1" x14ac:dyDescent="0.25">
      <c r="A26" s="12" t="str">
        <f t="shared" si="0"/>
        <v> VSS 1.110 </v>
      </c>
      <c r="B26" s="5" t="str">
        <f t="shared" si="1"/>
        <v>I</v>
      </c>
      <c r="C26" s="12">
        <f t="shared" si="2"/>
        <v>28495.69</v>
      </c>
      <c r="D26" s="14" t="str">
        <f t="shared" si="3"/>
        <v>vis</v>
      </c>
      <c r="E26" s="47">
        <f>VLOOKUP(C26,Active!C$21:E$973,3,FALSE)</f>
        <v>220.02826925872924</v>
      </c>
      <c r="F26" s="5" t="s">
        <v>62</v>
      </c>
      <c r="G26" s="14" t="str">
        <f t="shared" si="4"/>
        <v>28495.69</v>
      </c>
      <c r="H26" s="12">
        <f t="shared" si="5"/>
        <v>220</v>
      </c>
      <c r="I26" s="48" t="s">
        <v>73</v>
      </c>
      <c r="J26" s="49" t="s">
        <v>74</v>
      </c>
      <c r="K26" s="48">
        <v>220</v>
      </c>
      <c r="L26" s="48" t="s">
        <v>75</v>
      </c>
      <c r="M26" s="49" t="s">
        <v>68</v>
      </c>
      <c r="N26" s="49"/>
      <c r="O26" s="50" t="s">
        <v>69</v>
      </c>
      <c r="P26" s="50" t="s">
        <v>70</v>
      </c>
    </row>
    <row r="27" spans="1:16" ht="12.75" customHeight="1" thickBot="1" x14ac:dyDescent="0.25">
      <c r="A27" s="12" t="str">
        <f t="shared" si="0"/>
        <v> VSS 1.110 </v>
      </c>
      <c r="B27" s="5" t="str">
        <f t="shared" si="1"/>
        <v>I</v>
      </c>
      <c r="C27" s="12">
        <f t="shared" si="2"/>
        <v>28950.34</v>
      </c>
      <c r="D27" s="14" t="str">
        <f t="shared" si="3"/>
        <v>vis</v>
      </c>
      <c r="E27" s="47">
        <f>VLOOKUP(C27,Active!C$21:E$973,3,FALSE)</f>
        <v>490.95193034225792</v>
      </c>
      <c r="F27" s="5" t="s">
        <v>62</v>
      </c>
      <c r="G27" s="14" t="str">
        <f t="shared" si="4"/>
        <v>28950.34</v>
      </c>
      <c r="H27" s="12">
        <f t="shared" si="5"/>
        <v>491</v>
      </c>
      <c r="I27" s="48" t="s">
        <v>76</v>
      </c>
      <c r="J27" s="49" t="s">
        <v>77</v>
      </c>
      <c r="K27" s="48">
        <v>491</v>
      </c>
      <c r="L27" s="48" t="s">
        <v>78</v>
      </c>
      <c r="M27" s="49" t="s">
        <v>68</v>
      </c>
      <c r="N27" s="49"/>
      <c r="O27" s="50" t="s">
        <v>69</v>
      </c>
      <c r="P27" s="50" t="s">
        <v>70</v>
      </c>
    </row>
    <row r="28" spans="1:16" ht="12.75" customHeight="1" thickBot="1" x14ac:dyDescent="0.25">
      <c r="A28" s="12" t="str">
        <f t="shared" si="0"/>
        <v> VSS 1.110 </v>
      </c>
      <c r="B28" s="5" t="str">
        <f t="shared" si="1"/>
        <v>I</v>
      </c>
      <c r="C28" s="12">
        <f t="shared" si="2"/>
        <v>29163.59</v>
      </c>
      <c r="D28" s="14" t="str">
        <f t="shared" si="3"/>
        <v>vis</v>
      </c>
      <c r="E28" s="47">
        <f>VLOOKUP(C28,Active!C$21:E$973,3,FALSE)</f>
        <v>618.0265387796544</v>
      </c>
      <c r="F28" s="5" t="s">
        <v>62</v>
      </c>
      <c r="G28" s="14" t="str">
        <f t="shared" si="4"/>
        <v>29163.59</v>
      </c>
      <c r="H28" s="12">
        <f t="shared" si="5"/>
        <v>618</v>
      </c>
      <c r="I28" s="48" t="s">
        <v>79</v>
      </c>
      <c r="J28" s="49" t="s">
        <v>80</v>
      </c>
      <c r="K28" s="48">
        <v>618</v>
      </c>
      <c r="L28" s="48" t="s">
        <v>81</v>
      </c>
      <c r="M28" s="49" t="s">
        <v>68</v>
      </c>
      <c r="N28" s="49"/>
      <c r="O28" s="50" t="s">
        <v>69</v>
      </c>
      <c r="P28" s="50" t="s">
        <v>70</v>
      </c>
    </row>
    <row r="29" spans="1:16" ht="12.75" customHeight="1" thickBot="1" x14ac:dyDescent="0.25">
      <c r="A29" s="12" t="str">
        <f t="shared" si="0"/>
        <v> VSS 1.110 </v>
      </c>
      <c r="B29" s="5" t="str">
        <f t="shared" si="1"/>
        <v>I</v>
      </c>
      <c r="C29" s="12">
        <f t="shared" si="2"/>
        <v>29168.58</v>
      </c>
      <c r="D29" s="14" t="str">
        <f t="shared" si="3"/>
        <v>vis</v>
      </c>
      <c r="E29" s="47">
        <f>VLOOKUP(C29,Active!C$21:E$973,3,FALSE)</f>
        <v>621.00005482234053</v>
      </c>
      <c r="F29" s="5" t="s">
        <v>62</v>
      </c>
      <c r="G29" s="14" t="str">
        <f t="shared" si="4"/>
        <v>29168.58</v>
      </c>
      <c r="H29" s="12">
        <f t="shared" si="5"/>
        <v>621</v>
      </c>
      <c r="I29" s="48" t="s">
        <v>82</v>
      </c>
      <c r="J29" s="49" t="s">
        <v>83</v>
      </c>
      <c r="K29" s="48">
        <v>621</v>
      </c>
      <c r="L29" s="48" t="s">
        <v>84</v>
      </c>
      <c r="M29" s="49" t="s">
        <v>68</v>
      </c>
      <c r="N29" s="49"/>
      <c r="O29" s="50" t="s">
        <v>69</v>
      </c>
      <c r="P29" s="50" t="s">
        <v>70</v>
      </c>
    </row>
    <row r="30" spans="1:16" ht="12.75" customHeight="1" thickBot="1" x14ac:dyDescent="0.25">
      <c r="A30" s="12" t="str">
        <f t="shared" si="0"/>
        <v> VSS 1.110 </v>
      </c>
      <c r="B30" s="5" t="str">
        <f t="shared" si="1"/>
        <v>I</v>
      </c>
      <c r="C30" s="12">
        <f t="shared" si="2"/>
        <v>29289.38</v>
      </c>
      <c r="D30" s="14" t="str">
        <f t="shared" si="3"/>
        <v>vis</v>
      </c>
      <c r="E30" s="47">
        <f>VLOOKUP(C30,Active!C$21:E$973,3,FALSE)</f>
        <v>692.98417064525916</v>
      </c>
      <c r="F30" s="5" t="s">
        <v>62</v>
      </c>
      <c r="G30" s="14" t="str">
        <f t="shared" si="4"/>
        <v>29289.38</v>
      </c>
      <c r="H30" s="12">
        <f t="shared" si="5"/>
        <v>693</v>
      </c>
      <c r="I30" s="48" t="s">
        <v>85</v>
      </c>
      <c r="J30" s="49" t="s">
        <v>86</v>
      </c>
      <c r="K30" s="48">
        <v>693</v>
      </c>
      <c r="L30" s="48" t="s">
        <v>87</v>
      </c>
      <c r="M30" s="49" t="s">
        <v>68</v>
      </c>
      <c r="N30" s="49"/>
      <c r="O30" s="50" t="s">
        <v>69</v>
      </c>
      <c r="P30" s="50" t="s">
        <v>70</v>
      </c>
    </row>
    <row r="31" spans="1:16" ht="12.75" customHeight="1" thickBot="1" x14ac:dyDescent="0.25">
      <c r="A31" s="12" t="str">
        <f t="shared" si="0"/>
        <v> VSS 1.110 </v>
      </c>
      <c r="B31" s="5" t="str">
        <f t="shared" si="1"/>
        <v>I</v>
      </c>
      <c r="C31" s="12">
        <f t="shared" si="2"/>
        <v>29316.32</v>
      </c>
      <c r="D31" s="14" t="str">
        <f t="shared" si="3"/>
        <v>vis</v>
      </c>
      <c r="E31" s="47">
        <f>VLOOKUP(C31,Active!C$21:E$973,3,FALSE)</f>
        <v>709.03758190576696</v>
      </c>
      <c r="F31" s="5" t="s">
        <v>62</v>
      </c>
      <c r="G31" s="14" t="str">
        <f t="shared" si="4"/>
        <v>29316.32</v>
      </c>
      <c r="H31" s="12">
        <f t="shared" si="5"/>
        <v>709</v>
      </c>
      <c r="I31" s="48" t="s">
        <v>88</v>
      </c>
      <c r="J31" s="49" t="s">
        <v>89</v>
      </c>
      <c r="K31" s="48">
        <v>709</v>
      </c>
      <c r="L31" s="48" t="s">
        <v>90</v>
      </c>
      <c r="M31" s="49" t="s">
        <v>68</v>
      </c>
      <c r="N31" s="49"/>
      <c r="O31" s="50" t="s">
        <v>69</v>
      </c>
      <c r="P31" s="50" t="s">
        <v>70</v>
      </c>
    </row>
    <row r="32" spans="1:16" ht="12.75" customHeight="1" thickBot="1" x14ac:dyDescent="0.25">
      <c r="A32" s="12" t="str">
        <f t="shared" si="0"/>
        <v> VSS 1.110 </v>
      </c>
      <c r="B32" s="5" t="str">
        <f t="shared" si="1"/>
        <v>I</v>
      </c>
      <c r="C32" s="12">
        <f t="shared" si="2"/>
        <v>29638.45</v>
      </c>
      <c r="D32" s="14" t="str">
        <f t="shared" si="3"/>
        <v>vis</v>
      </c>
      <c r="E32" s="47">
        <f>VLOOKUP(C32,Active!C$21:E$973,3,FALSE)</f>
        <v>900.99323778355665</v>
      </c>
      <c r="F32" s="5" t="s">
        <v>62</v>
      </c>
      <c r="G32" s="14" t="str">
        <f t="shared" si="4"/>
        <v>29638.45</v>
      </c>
      <c r="H32" s="12">
        <f t="shared" si="5"/>
        <v>901</v>
      </c>
      <c r="I32" s="48" t="s">
        <v>91</v>
      </c>
      <c r="J32" s="49" t="s">
        <v>92</v>
      </c>
      <c r="K32" s="48">
        <v>901</v>
      </c>
      <c r="L32" s="48" t="s">
        <v>93</v>
      </c>
      <c r="M32" s="49" t="s">
        <v>68</v>
      </c>
      <c r="N32" s="49"/>
      <c r="O32" s="50" t="s">
        <v>69</v>
      </c>
      <c r="P32" s="50" t="s">
        <v>70</v>
      </c>
    </row>
    <row r="33" spans="1:16" ht="12.75" customHeight="1" thickBot="1" x14ac:dyDescent="0.25">
      <c r="A33" s="12" t="str">
        <f t="shared" si="0"/>
        <v> VSS 1.110 </v>
      </c>
      <c r="B33" s="5" t="str">
        <f t="shared" si="1"/>
        <v>I</v>
      </c>
      <c r="C33" s="12">
        <f t="shared" si="2"/>
        <v>30346.65</v>
      </c>
      <c r="D33" s="14" t="str">
        <f t="shared" si="3"/>
        <v>vis</v>
      </c>
      <c r="E33" s="47">
        <f>VLOOKUP(C33,Active!C$21:E$973,3,FALSE)</f>
        <v>1323.0060757454055</v>
      </c>
      <c r="F33" s="5" t="s">
        <v>62</v>
      </c>
      <c r="G33" s="14" t="str">
        <f t="shared" si="4"/>
        <v>30346.65</v>
      </c>
      <c r="H33" s="12">
        <f t="shared" si="5"/>
        <v>1323</v>
      </c>
      <c r="I33" s="48" t="s">
        <v>94</v>
      </c>
      <c r="J33" s="49" t="s">
        <v>95</v>
      </c>
      <c r="K33" s="48">
        <v>1323</v>
      </c>
      <c r="L33" s="48" t="s">
        <v>96</v>
      </c>
      <c r="M33" s="49" t="s">
        <v>68</v>
      </c>
      <c r="N33" s="49"/>
      <c r="O33" s="50" t="s">
        <v>69</v>
      </c>
      <c r="P33" s="50" t="s">
        <v>70</v>
      </c>
    </row>
    <row r="34" spans="1:16" ht="12.75" customHeight="1" thickBot="1" x14ac:dyDescent="0.25">
      <c r="A34" s="12" t="str">
        <f t="shared" si="0"/>
        <v> VSS 1.110 </v>
      </c>
      <c r="B34" s="5" t="str">
        <f t="shared" si="1"/>
        <v>I</v>
      </c>
      <c r="C34" s="12">
        <f t="shared" si="2"/>
        <v>30378.54</v>
      </c>
      <c r="D34" s="14" t="str">
        <f t="shared" si="3"/>
        <v>vis</v>
      </c>
      <c r="E34" s="47">
        <f>VLOOKUP(C34,Active!C$21:E$973,3,FALSE)</f>
        <v>1342.0091672486576</v>
      </c>
      <c r="F34" s="5" t="s">
        <v>62</v>
      </c>
      <c r="G34" s="14" t="str">
        <f t="shared" si="4"/>
        <v>30378.54</v>
      </c>
      <c r="H34" s="12">
        <f t="shared" si="5"/>
        <v>1342</v>
      </c>
      <c r="I34" s="48" t="s">
        <v>97</v>
      </c>
      <c r="J34" s="49" t="s">
        <v>98</v>
      </c>
      <c r="K34" s="48">
        <v>1342</v>
      </c>
      <c r="L34" s="48" t="s">
        <v>99</v>
      </c>
      <c r="M34" s="49" t="s">
        <v>68</v>
      </c>
      <c r="N34" s="49"/>
      <c r="O34" s="50" t="s">
        <v>69</v>
      </c>
      <c r="P34" s="50" t="s">
        <v>70</v>
      </c>
    </row>
    <row r="35" spans="1:16" ht="12.75" customHeight="1" thickBot="1" x14ac:dyDescent="0.25">
      <c r="A35" s="12" t="str">
        <f t="shared" si="0"/>
        <v> VSS 1.110 </v>
      </c>
      <c r="B35" s="5" t="str">
        <f t="shared" si="1"/>
        <v>I</v>
      </c>
      <c r="C35" s="12">
        <f t="shared" si="2"/>
        <v>31145.46</v>
      </c>
      <c r="D35" s="14" t="str">
        <f t="shared" si="3"/>
        <v>vis</v>
      </c>
      <c r="E35" s="47">
        <f>VLOOKUP(C35,Active!C$21:E$973,3,FALSE)</f>
        <v>1799.0129595244273</v>
      </c>
      <c r="F35" s="5" t="s">
        <v>62</v>
      </c>
      <c r="G35" s="14" t="str">
        <f t="shared" si="4"/>
        <v>31145.46</v>
      </c>
      <c r="H35" s="12">
        <f t="shared" si="5"/>
        <v>1799</v>
      </c>
      <c r="I35" s="48" t="s">
        <v>100</v>
      </c>
      <c r="J35" s="49" t="s">
        <v>101</v>
      </c>
      <c r="K35" s="48">
        <v>1799</v>
      </c>
      <c r="L35" s="48" t="s">
        <v>99</v>
      </c>
      <c r="M35" s="49" t="s">
        <v>68</v>
      </c>
      <c r="N35" s="49"/>
      <c r="O35" s="50" t="s">
        <v>69</v>
      </c>
      <c r="P35" s="50" t="s">
        <v>70</v>
      </c>
    </row>
    <row r="36" spans="1:16" ht="12.75" customHeight="1" thickBot="1" x14ac:dyDescent="0.25">
      <c r="A36" s="12" t="str">
        <f t="shared" si="0"/>
        <v> BRNO 30 </v>
      </c>
      <c r="B36" s="5" t="str">
        <f t="shared" si="1"/>
        <v>I</v>
      </c>
      <c r="C36" s="12">
        <f t="shared" si="2"/>
        <v>46851.432000000001</v>
      </c>
      <c r="D36" s="14" t="str">
        <f t="shared" si="3"/>
        <v>vis</v>
      </c>
      <c r="E36" s="47">
        <f>VLOOKUP(C36,Active!C$21:E$973,3,FALSE)</f>
        <v>11158.123121441018</v>
      </c>
      <c r="F36" s="5" t="s">
        <v>62</v>
      </c>
      <c r="G36" s="14" t="str">
        <f t="shared" si="4"/>
        <v>46851.432</v>
      </c>
      <c r="H36" s="12">
        <f t="shared" si="5"/>
        <v>11158</v>
      </c>
      <c r="I36" s="48" t="s">
        <v>102</v>
      </c>
      <c r="J36" s="49" t="s">
        <v>103</v>
      </c>
      <c r="K36" s="48">
        <v>11158</v>
      </c>
      <c r="L36" s="48" t="s">
        <v>104</v>
      </c>
      <c r="M36" s="49" t="s">
        <v>105</v>
      </c>
      <c r="N36" s="49"/>
      <c r="O36" s="50" t="s">
        <v>106</v>
      </c>
      <c r="P36" s="50" t="s">
        <v>107</v>
      </c>
    </row>
    <row r="37" spans="1:16" ht="12.75" customHeight="1" thickBot="1" x14ac:dyDescent="0.25">
      <c r="A37" s="12" t="str">
        <f t="shared" si="0"/>
        <v> BRNO 30 </v>
      </c>
      <c r="B37" s="5" t="str">
        <f t="shared" si="1"/>
        <v>I</v>
      </c>
      <c r="C37" s="12">
        <f t="shared" si="2"/>
        <v>47470.64</v>
      </c>
      <c r="D37" s="14" t="str">
        <f t="shared" si="3"/>
        <v>vis</v>
      </c>
      <c r="E37" s="47">
        <f>VLOOKUP(C37,Active!C$21:E$973,3,FALSE)</f>
        <v>11527.106071693319</v>
      </c>
      <c r="F37" s="5" t="s">
        <v>62</v>
      </c>
      <c r="G37" s="14" t="str">
        <f t="shared" si="4"/>
        <v>47470.640</v>
      </c>
      <c r="H37" s="12">
        <f t="shared" si="5"/>
        <v>11527</v>
      </c>
      <c r="I37" s="48" t="s">
        <v>108</v>
      </c>
      <c r="J37" s="49" t="s">
        <v>109</v>
      </c>
      <c r="K37" s="48">
        <v>11527</v>
      </c>
      <c r="L37" s="48" t="s">
        <v>110</v>
      </c>
      <c r="M37" s="49" t="s">
        <v>105</v>
      </c>
      <c r="N37" s="49"/>
      <c r="O37" s="50" t="s">
        <v>111</v>
      </c>
      <c r="P37" s="50" t="s">
        <v>107</v>
      </c>
    </row>
    <row r="38" spans="1:16" ht="12.75" customHeight="1" thickBot="1" x14ac:dyDescent="0.25">
      <c r="A38" s="12" t="str">
        <f t="shared" si="0"/>
        <v> BAVR 38.70 </v>
      </c>
      <c r="B38" s="5" t="str">
        <f t="shared" si="1"/>
        <v>I</v>
      </c>
      <c r="C38" s="12">
        <f t="shared" si="2"/>
        <v>47554.54</v>
      </c>
      <c r="D38" s="14" t="str">
        <f t="shared" si="3"/>
        <v>vis</v>
      </c>
      <c r="E38" s="47">
        <f>VLOOKUP(C38,Active!C$21:E$973,3,FALSE)</f>
        <v>11577.10166207033</v>
      </c>
      <c r="F38" s="5" t="s">
        <v>62</v>
      </c>
      <c r="G38" s="14" t="str">
        <f t="shared" si="4"/>
        <v>47554.54</v>
      </c>
      <c r="H38" s="12">
        <f t="shared" si="5"/>
        <v>11577</v>
      </c>
      <c r="I38" s="48" t="s">
        <v>112</v>
      </c>
      <c r="J38" s="49" t="s">
        <v>113</v>
      </c>
      <c r="K38" s="48">
        <v>11577</v>
      </c>
      <c r="L38" s="48" t="s">
        <v>114</v>
      </c>
      <c r="M38" s="49" t="s">
        <v>64</v>
      </c>
      <c r="N38" s="49"/>
      <c r="O38" s="50" t="s">
        <v>115</v>
      </c>
      <c r="P38" s="50" t="s">
        <v>116</v>
      </c>
    </row>
    <row r="39" spans="1:16" ht="12.75" customHeight="1" thickBot="1" x14ac:dyDescent="0.25">
      <c r="A39" s="12" t="str">
        <f t="shared" si="0"/>
        <v> BRNO 30 </v>
      </c>
      <c r="B39" s="5" t="str">
        <f t="shared" si="1"/>
        <v>I</v>
      </c>
      <c r="C39" s="12">
        <f t="shared" si="2"/>
        <v>47571.337</v>
      </c>
      <c r="D39" s="14" t="str">
        <f t="shared" si="3"/>
        <v>vis</v>
      </c>
      <c r="E39" s="47">
        <f>VLOOKUP(C39,Active!C$21:E$973,3,FALSE)</f>
        <v>11587.110910360707</v>
      </c>
      <c r="F39" s="5" t="s">
        <v>62</v>
      </c>
      <c r="G39" s="14" t="str">
        <f t="shared" si="4"/>
        <v>47571.337</v>
      </c>
      <c r="H39" s="12">
        <f t="shared" si="5"/>
        <v>11587</v>
      </c>
      <c r="I39" s="48" t="s">
        <v>117</v>
      </c>
      <c r="J39" s="49" t="s">
        <v>118</v>
      </c>
      <c r="K39" s="48">
        <v>11587</v>
      </c>
      <c r="L39" s="48" t="s">
        <v>119</v>
      </c>
      <c r="M39" s="49" t="s">
        <v>105</v>
      </c>
      <c r="N39" s="49"/>
      <c r="O39" s="50" t="s">
        <v>111</v>
      </c>
      <c r="P39" s="50" t="s">
        <v>107</v>
      </c>
    </row>
    <row r="40" spans="1:16" ht="12.75" customHeight="1" thickBot="1" x14ac:dyDescent="0.25">
      <c r="A40" s="12" t="str">
        <f t="shared" si="0"/>
        <v> BRNO 30 </v>
      </c>
      <c r="B40" s="5" t="str">
        <f t="shared" si="1"/>
        <v>I</v>
      </c>
      <c r="C40" s="12">
        <f t="shared" si="2"/>
        <v>47571.341999999997</v>
      </c>
      <c r="D40" s="14" t="str">
        <f t="shared" si="3"/>
        <v>vis</v>
      </c>
      <c r="E40" s="47">
        <f>VLOOKUP(C40,Active!C$21:E$973,3,FALSE)</f>
        <v>11587.113889835699</v>
      </c>
      <c r="F40" s="5" t="s">
        <v>62</v>
      </c>
      <c r="G40" s="14" t="str">
        <f t="shared" si="4"/>
        <v>47571.342</v>
      </c>
      <c r="H40" s="12">
        <f t="shared" si="5"/>
        <v>11587</v>
      </c>
      <c r="I40" s="48" t="s">
        <v>120</v>
      </c>
      <c r="J40" s="49" t="s">
        <v>121</v>
      </c>
      <c r="K40" s="48">
        <v>11587</v>
      </c>
      <c r="L40" s="48" t="s">
        <v>122</v>
      </c>
      <c r="M40" s="49" t="s">
        <v>105</v>
      </c>
      <c r="N40" s="49"/>
      <c r="O40" s="50" t="s">
        <v>123</v>
      </c>
      <c r="P40" s="50" t="s">
        <v>107</v>
      </c>
    </row>
    <row r="41" spans="1:16" ht="12.75" customHeight="1" thickBot="1" x14ac:dyDescent="0.25">
      <c r="A41" s="12" t="str">
        <f t="shared" si="0"/>
        <v>BAVM 56 </v>
      </c>
      <c r="B41" s="5" t="str">
        <f t="shared" si="1"/>
        <v>I</v>
      </c>
      <c r="C41" s="12">
        <f t="shared" si="2"/>
        <v>47804.61</v>
      </c>
      <c r="D41" s="14" t="str">
        <f t="shared" si="3"/>
        <v>vis</v>
      </c>
      <c r="E41" s="47">
        <f>VLOOKUP(C41,Active!C$21:E$973,3,FALSE)</f>
        <v>11726.117124353752</v>
      </c>
      <c r="F41" s="5" t="s">
        <v>62</v>
      </c>
      <c r="G41" s="14" t="str">
        <f t="shared" si="4"/>
        <v>47804.610</v>
      </c>
      <c r="H41" s="12">
        <f t="shared" si="5"/>
        <v>11726</v>
      </c>
      <c r="I41" s="48" t="s">
        <v>129</v>
      </c>
      <c r="J41" s="49" t="s">
        <v>130</v>
      </c>
      <c r="K41" s="48">
        <v>11726</v>
      </c>
      <c r="L41" s="48" t="s">
        <v>131</v>
      </c>
      <c r="M41" s="49" t="s">
        <v>64</v>
      </c>
      <c r="N41" s="49"/>
      <c r="O41" s="50" t="s">
        <v>115</v>
      </c>
      <c r="P41" s="51" t="s">
        <v>132</v>
      </c>
    </row>
    <row r="42" spans="1:16" ht="12.75" customHeight="1" thickBot="1" x14ac:dyDescent="0.25">
      <c r="A42" s="12" t="str">
        <f t="shared" si="0"/>
        <v>BAVM 56 </v>
      </c>
      <c r="B42" s="5" t="str">
        <f t="shared" si="1"/>
        <v>I</v>
      </c>
      <c r="C42" s="12">
        <f t="shared" si="2"/>
        <v>47863.332999999999</v>
      </c>
      <c r="D42" s="14" t="str">
        <f t="shared" si="3"/>
        <v>vis</v>
      </c>
      <c r="E42" s="47">
        <f>VLOOKUP(C42,Active!C$21:E$973,3,FALSE)</f>
        <v>11761.109866352668</v>
      </c>
      <c r="F42" s="5" t="s">
        <v>62</v>
      </c>
      <c r="G42" s="14" t="str">
        <f t="shared" si="4"/>
        <v>47863.333</v>
      </c>
      <c r="H42" s="12">
        <f t="shared" si="5"/>
        <v>11761</v>
      </c>
      <c r="I42" s="48" t="s">
        <v>133</v>
      </c>
      <c r="J42" s="49" t="s">
        <v>134</v>
      </c>
      <c r="K42" s="48">
        <v>11761</v>
      </c>
      <c r="L42" s="48" t="s">
        <v>135</v>
      </c>
      <c r="M42" s="49" t="s">
        <v>64</v>
      </c>
      <c r="N42" s="49"/>
      <c r="O42" s="50" t="s">
        <v>115</v>
      </c>
      <c r="P42" s="51" t="s">
        <v>132</v>
      </c>
    </row>
    <row r="43" spans="1:16" ht="12.75" customHeight="1" thickBot="1" x14ac:dyDescent="0.25">
      <c r="A43" s="12" t="str">
        <f t="shared" si="0"/>
        <v>BAVM 56 </v>
      </c>
      <c r="B43" s="5" t="str">
        <f t="shared" si="1"/>
        <v>I</v>
      </c>
      <c r="C43" s="12">
        <f t="shared" si="2"/>
        <v>47925.417999999998</v>
      </c>
      <c r="D43" s="14" t="str">
        <f t="shared" si="3"/>
        <v>vis</v>
      </c>
      <c r="E43" s="47">
        <f>VLOOKUP(C43,Active!C$21:E$973,3,FALSE)</f>
        <v>11798.106007336657</v>
      </c>
      <c r="F43" s="5" t="s">
        <v>62</v>
      </c>
      <c r="G43" s="14" t="str">
        <f t="shared" si="4"/>
        <v>47925.418</v>
      </c>
      <c r="H43" s="12">
        <f t="shared" si="5"/>
        <v>11798</v>
      </c>
      <c r="I43" s="48" t="s">
        <v>136</v>
      </c>
      <c r="J43" s="49" t="s">
        <v>137</v>
      </c>
      <c r="K43" s="48">
        <v>11798</v>
      </c>
      <c r="L43" s="48" t="s">
        <v>110</v>
      </c>
      <c r="M43" s="49" t="s">
        <v>64</v>
      </c>
      <c r="N43" s="49"/>
      <c r="O43" s="50" t="s">
        <v>115</v>
      </c>
      <c r="P43" s="51" t="s">
        <v>132</v>
      </c>
    </row>
    <row r="44" spans="1:16" ht="12.75" customHeight="1" thickBot="1" x14ac:dyDescent="0.25">
      <c r="A44" s="12" t="str">
        <f t="shared" si="0"/>
        <v>BAVM 56 </v>
      </c>
      <c r="B44" s="5" t="str">
        <f t="shared" si="1"/>
        <v>I</v>
      </c>
      <c r="C44" s="12">
        <f t="shared" si="2"/>
        <v>47967.377999999997</v>
      </c>
      <c r="D44" s="14" t="str">
        <f t="shared" si="3"/>
        <v>vis</v>
      </c>
      <c r="E44" s="47">
        <f>VLOOKUP(C44,Active!C$21:E$973,3,FALSE)</f>
        <v>11823.109761475149</v>
      </c>
      <c r="F44" s="5" t="s">
        <v>62</v>
      </c>
      <c r="G44" s="14" t="str">
        <f t="shared" si="4"/>
        <v>47967.378</v>
      </c>
      <c r="H44" s="12">
        <f t="shared" si="5"/>
        <v>11823</v>
      </c>
      <c r="I44" s="48" t="s">
        <v>138</v>
      </c>
      <c r="J44" s="49" t="s">
        <v>139</v>
      </c>
      <c r="K44" s="48">
        <v>11823</v>
      </c>
      <c r="L44" s="48" t="s">
        <v>135</v>
      </c>
      <c r="M44" s="49" t="s">
        <v>64</v>
      </c>
      <c r="N44" s="49"/>
      <c r="O44" s="50" t="s">
        <v>115</v>
      </c>
      <c r="P44" s="51" t="s">
        <v>132</v>
      </c>
    </row>
    <row r="45" spans="1:16" ht="12.75" customHeight="1" thickBot="1" x14ac:dyDescent="0.25">
      <c r="A45" s="12" t="str">
        <f t="shared" si="0"/>
        <v>BAVM 68 </v>
      </c>
      <c r="B45" s="5" t="str">
        <f t="shared" si="1"/>
        <v>I</v>
      </c>
      <c r="C45" s="12">
        <f t="shared" si="2"/>
        <v>48306.360999999997</v>
      </c>
      <c r="D45" s="14" t="str">
        <f t="shared" si="3"/>
        <v>vis</v>
      </c>
      <c r="E45" s="47">
        <f>VLOOKUP(C45,Active!C$21:E$973,3,FALSE)</f>
        <v>12025.108035763233</v>
      </c>
      <c r="F45" s="5" t="s">
        <v>62</v>
      </c>
      <c r="G45" s="14" t="str">
        <f t="shared" si="4"/>
        <v>48306.361</v>
      </c>
      <c r="H45" s="12">
        <f t="shared" si="5"/>
        <v>12025</v>
      </c>
      <c r="I45" s="48" t="s">
        <v>140</v>
      </c>
      <c r="J45" s="49" t="s">
        <v>141</v>
      </c>
      <c r="K45" s="48">
        <v>12025</v>
      </c>
      <c r="L45" s="48" t="s">
        <v>142</v>
      </c>
      <c r="M45" s="49" t="s">
        <v>64</v>
      </c>
      <c r="N45" s="49"/>
      <c r="O45" s="50" t="s">
        <v>115</v>
      </c>
      <c r="P45" s="51" t="s">
        <v>143</v>
      </c>
    </row>
    <row r="46" spans="1:16" ht="12.75" customHeight="1" thickBot="1" x14ac:dyDescent="0.25">
      <c r="A46" s="12" t="str">
        <f t="shared" si="0"/>
        <v>BAVM 62 </v>
      </c>
      <c r="B46" s="5" t="str">
        <f t="shared" si="1"/>
        <v>I</v>
      </c>
      <c r="C46" s="12">
        <f t="shared" si="2"/>
        <v>48645.341999999997</v>
      </c>
      <c r="D46" s="14" t="str">
        <f t="shared" si="3"/>
        <v>vis</v>
      </c>
      <c r="E46" s="47">
        <f>VLOOKUP(C46,Active!C$21:E$973,3,FALSE)</f>
        <v>12227.105118261319</v>
      </c>
      <c r="F46" s="5" t="s">
        <v>62</v>
      </c>
      <c r="G46" s="14" t="str">
        <f t="shared" si="4"/>
        <v>48645.342</v>
      </c>
      <c r="H46" s="12">
        <f t="shared" si="5"/>
        <v>12227</v>
      </c>
      <c r="I46" s="48" t="s">
        <v>144</v>
      </c>
      <c r="J46" s="49" t="s">
        <v>145</v>
      </c>
      <c r="K46" s="48">
        <v>12227</v>
      </c>
      <c r="L46" s="48" t="s">
        <v>146</v>
      </c>
      <c r="M46" s="49" t="s">
        <v>64</v>
      </c>
      <c r="N46" s="49"/>
      <c r="O46" s="50" t="s">
        <v>147</v>
      </c>
      <c r="P46" s="51" t="s">
        <v>148</v>
      </c>
    </row>
    <row r="47" spans="1:16" ht="12.75" customHeight="1" thickBot="1" x14ac:dyDescent="0.25">
      <c r="A47" s="12" t="str">
        <f t="shared" si="0"/>
        <v>BAVM 68 </v>
      </c>
      <c r="B47" s="5" t="str">
        <f t="shared" si="1"/>
        <v>I</v>
      </c>
      <c r="C47" s="12">
        <f t="shared" si="2"/>
        <v>48650.381000000001</v>
      </c>
      <c r="D47" s="14" t="str">
        <f t="shared" si="3"/>
        <v>vis</v>
      </c>
      <c r="E47" s="47">
        <f>VLOOKUP(C47,Active!C$21:E$973,3,FALSE)</f>
        <v>12230.107833158936</v>
      </c>
      <c r="F47" s="5" t="s">
        <v>62</v>
      </c>
      <c r="G47" s="14" t="str">
        <f t="shared" si="4"/>
        <v>48650.381</v>
      </c>
      <c r="H47" s="12">
        <f t="shared" si="5"/>
        <v>12230</v>
      </c>
      <c r="I47" s="48" t="s">
        <v>149</v>
      </c>
      <c r="J47" s="49" t="s">
        <v>150</v>
      </c>
      <c r="K47" s="48">
        <v>12230</v>
      </c>
      <c r="L47" s="48" t="s">
        <v>142</v>
      </c>
      <c r="M47" s="49" t="s">
        <v>64</v>
      </c>
      <c r="N47" s="49"/>
      <c r="O47" s="50" t="s">
        <v>115</v>
      </c>
      <c r="P47" s="51" t="s">
        <v>143</v>
      </c>
    </row>
    <row r="48" spans="1:16" ht="12.75" customHeight="1" thickBot="1" x14ac:dyDescent="0.25">
      <c r="A48" s="12" t="str">
        <f t="shared" si="0"/>
        <v>BAVM 62 </v>
      </c>
      <c r="B48" s="5" t="str">
        <f t="shared" si="1"/>
        <v>I</v>
      </c>
      <c r="C48" s="12">
        <f t="shared" si="2"/>
        <v>48989.38</v>
      </c>
      <c r="D48" s="14" t="str">
        <f t="shared" si="3"/>
        <v>vis</v>
      </c>
      <c r="E48" s="47">
        <f>VLOOKUP(C48,Active!C$21:E$973,3,FALSE)</f>
        <v>12432.115641766994</v>
      </c>
      <c r="F48" s="5" t="s">
        <v>62</v>
      </c>
      <c r="G48" s="14" t="str">
        <f t="shared" si="4"/>
        <v>48989.380</v>
      </c>
      <c r="H48" s="12">
        <f t="shared" si="5"/>
        <v>12432</v>
      </c>
      <c r="I48" s="48" t="s">
        <v>151</v>
      </c>
      <c r="J48" s="49" t="s">
        <v>152</v>
      </c>
      <c r="K48" s="48">
        <v>12432</v>
      </c>
      <c r="L48" s="48" t="s">
        <v>153</v>
      </c>
      <c r="M48" s="49" t="s">
        <v>64</v>
      </c>
      <c r="N48" s="49"/>
      <c r="O48" s="50" t="s">
        <v>147</v>
      </c>
      <c r="P48" s="51" t="s">
        <v>148</v>
      </c>
    </row>
    <row r="49" spans="1:16" ht="12.75" customHeight="1" thickBot="1" x14ac:dyDescent="0.25">
      <c r="A49" s="12" t="str">
        <f t="shared" si="0"/>
        <v> BRNO 32 </v>
      </c>
      <c r="B49" s="5" t="str">
        <f t="shared" si="1"/>
        <v>I</v>
      </c>
      <c r="C49" s="12">
        <f t="shared" si="2"/>
        <v>50046.614999999998</v>
      </c>
      <c r="D49" s="14" t="str">
        <f t="shared" si="3"/>
        <v>vis</v>
      </c>
      <c r="E49" s="47">
        <f>VLOOKUP(C49,Active!C$21:E$973,3,FALSE)</f>
        <v>13062.116690542192</v>
      </c>
      <c r="F49" s="5" t="s">
        <v>62</v>
      </c>
      <c r="G49" s="14" t="str">
        <f t="shared" si="4"/>
        <v>50046.6150</v>
      </c>
      <c r="H49" s="12">
        <f t="shared" si="5"/>
        <v>13062</v>
      </c>
      <c r="I49" s="48" t="s">
        <v>154</v>
      </c>
      <c r="J49" s="49" t="s">
        <v>155</v>
      </c>
      <c r="K49" s="48">
        <v>13062</v>
      </c>
      <c r="L49" s="48" t="s">
        <v>156</v>
      </c>
      <c r="M49" s="49" t="s">
        <v>105</v>
      </c>
      <c r="N49" s="49"/>
      <c r="O49" s="50" t="s">
        <v>111</v>
      </c>
      <c r="P49" s="50" t="s">
        <v>157</v>
      </c>
    </row>
    <row r="50" spans="1:16" ht="12.75" customHeight="1" thickBot="1" x14ac:dyDescent="0.25">
      <c r="A50" s="12" t="str">
        <f t="shared" si="0"/>
        <v> BRNO 32 </v>
      </c>
      <c r="B50" s="5" t="str">
        <f t="shared" si="1"/>
        <v>I</v>
      </c>
      <c r="C50" s="12">
        <f t="shared" si="2"/>
        <v>51585.4954</v>
      </c>
      <c r="D50" s="14" t="str">
        <f t="shared" si="3"/>
        <v>vis</v>
      </c>
      <c r="E50" s="47">
        <f>VLOOKUP(C50,Active!C$21:E$973,3,FALSE)</f>
        <v>13979.127824244346</v>
      </c>
      <c r="F50" s="5" t="s">
        <v>62</v>
      </c>
      <c r="G50" s="14" t="str">
        <f t="shared" si="4"/>
        <v>51585.4954</v>
      </c>
      <c r="H50" s="12">
        <f t="shared" si="5"/>
        <v>13979</v>
      </c>
      <c r="I50" s="48" t="s">
        <v>165</v>
      </c>
      <c r="J50" s="49" t="s">
        <v>166</v>
      </c>
      <c r="K50" s="48">
        <v>13979</v>
      </c>
      <c r="L50" s="48" t="s">
        <v>167</v>
      </c>
      <c r="M50" s="49" t="s">
        <v>161</v>
      </c>
      <c r="N50" s="49" t="s">
        <v>162</v>
      </c>
      <c r="O50" s="50" t="s">
        <v>168</v>
      </c>
      <c r="P50" s="50" t="s">
        <v>157</v>
      </c>
    </row>
    <row r="51" spans="1:16" ht="12.75" customHeight="1" thickBot="1" x14ac:dyDescent="0.25">
      <c r="A51" s="12" t="str">
        <f t="shared" si="0"/>
        <v> BBS 124 </v>
      </c>
      <c r="B51" s="5" t="str">
        <f t="shared" si="1"/>
        <v>I</v>
      </c>
      <c r="C51" s="12">
        <f t="shared" si="2"/>
        <v>51951.332399999999</v>
      </c>
      <c r="D51" s="14" t="str">
        <f t="shared" si="3"/>
        <v>vis</v>
      </c>
      <c r="E51" s="47">
        <f>VLOOKUP(C51,Active!C$21:E$973,3,FALSE)</f>
        <v>14197.128262823064</v>
      </c>
      <c r="F51" s="5" t="s">
        <v>62</v>
      </c>
      <c r="G51" s="14" t="str">
        <f t="shared" si="4"/>
        <v>51951.3324</v>
      </c>
      <c r="H51" s="12">
        <f t="shared" si="5"/>
        <v>14197</v>
      </c>
      <c r="I51" s="48" t="s">
        <v>174</v>
      </c>
      <c r="J51" s="49" t="s">
        <v>175</v>
      </c>
      <c r="K51" s="48">
        <v>14197</v>
      </c>
      <c r="L51" s="48" t="s">
        <v>176</v>
      </c>
      <c r="M51" s="49" t="s">
        <v>161</v>
      </c>
      <c r="N51" s="49" t="s">
        <v>162</v>
      </c>
      <c r="O51" s="50" t="s">
        <v>177</v>
      </c>
      <c r="P51" s="50" t="s">
        <v>178</v>
      </c>
    </row>
    <row r="52" spans="1:16" ht="12.75" customHeight="1" thickBot="1" x14ac:dyDescent="0.25">
      <c r="A52" s="12" t="str">
        <f t="shared" si="0"/>
        <v> BBS 127 </v>
      </c>
      <c r="B52" s="5" t="str">
        <f t="shared" si="1"/>
        <v>I</v>
      </c>
      <c r="C52" s="12">
        <f t="shared" si="2"/>
        <v>52253.400999999998</v>
      </c>
      <c r="D52" s="14" t="str">
        <f t="shared" si="3"/>
        <v>vis</v>
      </c>
      <c r="E52" s="47">
        <f>VLOOKUP(C52,Active!C$21:E$973,3,FALSE)</f>
        <v>14377.12943077726</v>
      </c>
      <c r="F52" s="5" t="s">
        <v>62</v>
      </c>
      <c r="G52" s="14" t="str">
        <f t="shared" si="4"/>
        <v>52253.401</v>
      </c>
      <c r="H52" s="12">
        <f t="shared" si="5"/>
        <v>14377</v>
      </c>
      <c r="I52" s="48" t="s">
        <v>179</v>
      </c>
      <c r="J52" s="49" t="s">
        <v>180</v>
      </c>
      <c r="K52" s="48">
        <v>14377</v>
      </c>
      <c r="L52" s="48" t="s">
        <v>181</v>
      </c>
      <c r="M52" s="49" t="s">
        <v>161</v>
      </c>
      <c r="N52" s="49" t="s">
        <v>162</v>
      </c>
      <c r="O52" s="50" t="s">
        <v>163</v>
      </c>
      <c r="P52" s="50" t="s">
        <v>182</v>
      </c>
    </row>
    <row r="53" spans="1:16" ht="12.75" customHeight="1" thickBot="1" x14ac:dyDescent="0.25">
      <c r="A53" s="12" t="str">
        <f t="shared" si="0"/>
        <v>BAVM 193 </v>
      </c>
      <c r="B53" s="5" t="str">
        <f t="shared" si="1"/>
        <v>II</v>
      </c>
      <c r="C53" s="12">
        <f t="shared" si="2"/>
        <v>54454.341699999997</v>
      </c>
      <c r="D53" s="14" t="str">
        <f t="shared" si="3"/>
        <v>vis</v>
      </c>
      <c r="E53" s="47">
        <f>VLOOKUP(C53,Active!C$21:E$973,3,FALSE)</f>
        <v>15688.658985977398</v>
      </c>
      <c r="F53" s="5" t="s">
        <v>62</v>
      </c>
      <c r="G53" s="14" t="str">
        <f t="shared" si="4"/>
        <v>54454.3417</v>
      </c>
      <c r="H53" s="12">
        <f t="shared" si="5"/>
        <v>15688.5</v>
      </c>
      <c r="I53" s="48" t="s">
        <v>196</v>
      </c>
      <c r="J53" s="49" t="s">
        <v>197</v>
      </c>
      <c r="K53" s="48" t="s">
        <v>198</v>
      </c>
      <c r="L53" s="48" t="s">
        <v>199</v>
      </c>
      <c r="M53" s="49" t="s">
        <v>186</v>
      </c>
      <c r="N53" s="49" t="s">
        <v>62</v>
      </c>
      <c r="O53" s="50" t="s">
        <v>200</v>
      </c>
      <c r="P53" s="51" t="s">
        <v>201</v>
      </c>
    </row>
    <row r="54" spans="1:16" x14ac:dyDescent="0.2">
      <c r="B54" s="5"/>
      <c r="F54" s="5"/>
    </row>
    <row r="55" spans="1:16" x14ac:dyDescent="0.2">
      <c r="B55" s="5"/>
      <c r="F55" s="5"/>
    </row>
    <row r="56" spans="1:16" x14ac:dyDescent="0.2">
      <c r="B56" s="5"/>
      <c r="F56" s="5"/>
    </row>
    <row r="57" spans="1:16" x14ac:dyDescent="0.2">
      <c r="B57" s="5"/>
      <c r="F57" s="5"/>
    </row>
    <row r="58" spans="1:16" x14ac:dyDescent="0.2">
      <c r="B58" s="5"/>
      <c r="F58" s="5"/>
    </row>
    <row r="59" spans="1:16" x14ac:dyDescent="0.2">
      <c r="B59" s="5"/>
      <c r="F59" s="5"/>
    </row>
    <row r="60" spans="1:16" x14ac:dyDescent="0.2">
      <c r="B60" s="5"/>
      <c r="F60" s="5"/>
    </row>
    <row r="61" spans="1:16" x14ac:dyDescent="0.2">
      <c r="B61" s="5"/>
      <c r="F61" s="5"/>
    </row>
    <row r="62" spans="1:16" x14ac:dyDescent="0.2">
      <c r="B62" s="5"/>
      <c r="F62" s="5"/>
    </row>
    <row r="63" spans="1:16" x14ac:dyDescent="0.2">
      <c r="B63" s="5"/>
      <c r="F63" s="5"/>
    </row>
    <row r="64" spans="1:1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</sheetData>
  <phoneticPr fontId="18" type="noConversion"/>
  <hyperlinks>
    <hyperlink ref="P41" r:id="rId1" display="http://www.bav-astro.de/sfs/BAVM_link.php?BAVMnr=56" xr:uid="{00000000-0004-0000-0100-000000000000}"/>
    <hyperlink ref="P42" r:id="rId2" display="http://www.bav-astro.de/sfs/BAVM_link.php?BAVMnr=56" xr:uid="{00000000-0004-0000-0100-000001000000}"/>
    <hyperlink ref="P43" r:id="rId3" display="http://www.bav-astro.de/sfs/BAVM_link.php?BAVMnr=56" xr:uid="{00000000-0004-0000-0100-000002000000}"/>
    <hyperlink ref="P44" r:id="rId4" display="http://www.bav-astro.de/sfs/BAVM_link.php?BAVMnr=56" xr:uid="{00000000-0004-0000-0100-000003000000}"/>
    <hyperlink ref="P45" r:id="rId5" display="http://www.bav-astro.de/sfs/BAVM_link.php?BAVMnr=68" xr:uid="{00000000-0004-0000-0100-000004000000}"/>
    <hyperlink ref="P46" r:id="rId6" display="http://www.bav-astro.de/sfs/BAVM_link.php?BAVMnr=62" xr:uid="{00000000-0004-0000-0100-000005000000}"/>
    <hyperlink ref="P47" r:id="rId7" display="http://www.bav-astro.de/sfs/BAVM_link.php?BAVMnr=68" xr:uid="{00000000-0004-0000-0100-000006000000}"/>
    <hyperlink ref="P48" r:id="rId8" display="http://www.bav-astro.de/sfs/BAVM_link.php?BAVMnr=62" xr:uid="{00000000-0004-0000-0100-000007000000}"/>
    <hyperlink ref="P13" r:id="rId9" display="http://www.konkoly.hu/cgi-bin/IBVS?5287" xr:uid="{00000000-0004-0000-0100-000008000000}"/>
    <hyperlink ref="P14" r:id="rId10" display="http://var.astro.cz/oejv/issues/oejv0074.pdf" xr:uid="{00000000-0004-0000-0100-000009000000}"/>
    <hyperlink ref="P15" r:id="rId11" display="http://www.bav-astro.de/sfs/BAVM_link.php?BAVMnr=183" xr:uid="{00000000-0004-0000-0100-00000A000000}"/>
    <hyperlink ref="P53" r:id="rId12" display="http://www.bav-astro.de/sfs/BAVM_link.php?BAVMnr=193" xr:uid="{00000000-0004-0000-0100-00000B000000}"/>
    <hyperlink ref="P16" r:id="rId13" display="http://var.astro.cz/oejv/issues/oejv0160.pdf" xr:uid="{00000000-0004-0000-0100-00000C000000}"/>
    <hyperlink ref="P17" r:id="rId14" display="http://www.konkoly.hu/cgi-bin/IBVS?5992" xr:uid="{00000000-0004-0000-0100-00000D000000}"/>
    <hyperlink ref="P18" r:id="rId15" display="http://var.astro.cz/oejv/issues/oejv0160.pdf" xr:uid="{00000000-0004-0000-0100-00000E000000}"/>
    <hyperlink ref="P19" r:id="rId16" display="http://var.astro.cz/oejv/issues/oejv0160.pdf" xr:uid="{00000000-0004-0000-0100-00000F000000}"/>
    <hyperlink ref="P20" r:id="rId17" display="http://var.astro.cz/oejv/issues/oejv0160.pdf" xr:uid="{00000000-0004-0000-0100-000010000000}"/>
    <hyperlink ref="P21" r:id="rId18" display="http://var.astro.cz/oejv/issues/oejv0160.pdf" xr:uid="{00000000-0004-0000-0100-000011000000}"/>
    <hyperlink ref="P22" r:id="rId19" display="http://var.astro.cz/oejv/issues/oejv0160.pdf" xr:uid="{00000000-0004-0000-0100-000012000000}"/>
    <hyperlink ref="P23" r:id="rId20" display="http://www.bav-astro.de/sfs/BAVM_link.php?BAVMnr=234" xr:uid="{00000000-0004-0000-0100-00001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2023-08-06T08:27:34Z</dcterms:modified>
</cp:coreProperties>
</file>