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F771838-8C73-4BBF-807D-082ADDDE5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1" i="1" l="1"/>
  <c r="F71" i="1" s="1"/>
  <c r="G71" i="1" s="1"/>
  <c r="K71" i="1" s="1"/>
  <c r="Q71" i="1"/>
  <c r="E69" i="1"/>
  <c r="F69" i="1" s="1"/>
  <c r="G69" i="1" s="1"/>
  <c r="K69" i="1" s="1"/>
  <c r="Q69" i="1"/>
  <c r="E70" i="1"/>
  <c r="F70" i="1"/>
  <c r="G70" i="1" s="1"/>
  <c r="K70" i="1" s="1"/>
  <c r="Q70" i="1"/>
  <c r="E68" i="1"/>
  <c r="F68" i="1"/>
  <c r="G68" i="1"/>
  <c r="K68" i="1"/>
  <c r="Q68" i="1"/>
  <c r="Q57" i="1"/>
  <c r="D9" i="1"/>
  <c r="C9" i="1"/>
  <c r="Q56" i="1"/>
  <c r="Q55" i="1"/>
  <c r="Q54" i="1"/>
  <c r="Q53" i="1"/>
  <c r="Q51" i="1"/>
  <c r="Q50" i="1"/>
  <c r="Q48" i="1"/>
  <c r="Q46" i="1"/>
  <c r="Q45" i="1"/>
  <c r="Q43" i="1"/>
  <c r="Q37" i="1"/>
  <c r="Q31" i="1"/>
  <c r="Q30" i="1"/>
  <c r="Q29" i="1"/>
  <c r="Q28" i="1"/>
  <c r="Q27" i="1"/>
  <c r="Q26" i="1"/>
  <c r="Q25" i="1"/>
  <c r="Q24" i="1"/>
  <c r="Q23" i="1"/>
  <c r="Q21" i="1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55" i="2"/>
  <c r="C55" i="2"/>
  <c r="G54" i="2"/>
  <c r="C54" i="2"/>
  <c r="G53" i="2"/>
  <c r="C53" i="2"/>
  <c r="G52" i="2"/>
  <c r="C52" i="2"/>
  <c r="G51" i="2"/>
  <c r="C51" i="2"/>
  <c r="G23" i="2"/>
  <c r="C23" i="2"/>
  <c r="G50" i="2"/>
  <c r="C50" i="2"/>
  <c r="G49" i="2"/>
  <c r="C49" i="2"/>
  <c r="G22" i="2"/>
  <c r="C22" i="2"/>
  <c r="G48" i="2"/>
  <c r="C48" i="2"/>
  <c r="G21" i="2"/>
  <c r="C21" i="2"/>
  <c r="G47" i="2"/>
  <c r="C47" i="2"/>
  <c r="G46" i="2"/>
  <c r="C46" i="2"/>
  <c r="G20" i="2"/>
  <c r="C20" i="2"/>
  <c r="G45" i="2"/>
  <c r="C45" i="2"/>
  <c r="G19" i="2"/>
  <c r="C19" i="2"/>
  <c r="G18" i="2"/>
  <c r="C18" i="2"/>
  <c r="G17" i="2"/>
  <c r="C17" i="2"/>
  <c r="G16" i="2"/>
  <c r="C16" i="2"/>
  <c r="G15" i="2"/>
  <c r="C15" i="2"/>
  <c r="G44" i="2"/>
  <c r="C44" i="2"/>
  <c r="G14" i="2"/>
  <c r="C14" i="2"/>
  <c r="G13" i="2"/>
  <c r="C13" i="2"/>
  <c r="G12" i="2"/>
  <c r="C12" i="2"/>
  <c r="G11" i="2"/>
  <c r="C11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23" i="2"/>
  <c r="B23" i="2"/>
  <c r="D23" i="2"/>
  <c r="A23" i="2"/>
  <c r="H50" i="2"/>
  <c r="D50" i="2"/>
  <c r="B50" i="2"/>
  <c r="A50" i="2"/>
  <c r="H49" i="2"/>
  <c r="B49" i="2"/>
  <c r="D49" i="2"/>
  <c r="A49" i="2"/>
  <c r="H22" i="2"/>
  <c r="D22" i="2"/>
  <c r="B22" i="2"/>
  <c r="A22" i="2"/>
  <c r="H48" i="2"/>
  <c r="B48" i="2"/>
  <c r="D48" i="2"/>
  <c r="A48" i="2"/>
  <c r="H21" i="2"/>
  <c r="D21" i="2"/>
  <c r="B21" i="2"/>
  <c r="A21" i="2"/>
  <c r="H47" i="2"/>
  <c r="B47" i="2"/>
  <c r="D47" i="2"/>
  <c r="A47" i="2"/>
  <c r="H46" i="2"/>
  <c r="D46" i="2"/>
  <c r="B46" i="2"/>
  <c r="A46" i="2"/>
  <c r="H20" i="2"/>
  <c r="B20" i="2"/>
  <c r="D20" i="2"/>
  <c r="A20" i="2"/>
  <c r="H45" i="2"/>
  <c r="D45" i="2"/>
  <c r="B45" i="2"/>
  <c r="A45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44" i="2"/>
  <c r="D44" i="2"/>
  <c r="B44" i="2"/>
  <c r="A44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Q67" i="1"/>
  <c r="Q62" i="1"/>
  <c r="Q63" i="1"/>
  <c r="Q65" i="1"/>
  <c r="Q66" i="1"/>
  <c r="Q61" i="1"/>
  <c r="Q64" i="1"/>
  <c r="Q58" i="1"/>
  <c r="F16" i="1"/>
  <c r="F17" i="1" s="1"/>
  <c r="C17" i="1"/>
  <c r="Q59" i="1"/>
  <c r="Q60" i="1"/>
  <c r="Q32" i="1"/>
  <c r="Q33" i="1"/>
  <c r="Q34" i="1"/>
  <c r="Q35" i="1"/>
  <c r="Q36" i="1"/>
  <c r="Q38" i="1"/>
  <c r="Q39" i="1"/>
  <c r="Q40" i="1"/>
  <c r="Q41" i="1"/>
  <c r="Q42" i="1"/>
  <c r="Q44" i="1"/>
  <c r="Q47" i="1"/>
  <c r="Q49" i="1"/>
  <c r="Q52" i="1"/>
  <c r="C7" i="1"/>
  <c r="E27" i="1"/>
  <c r="F27" i="1"/>
  <c r="C8" i="1"/>
  <c r="Q22" i="1"/>
  <c r="E29" i="2"/>
  <c r="E24" i="1"/>
  <c r="F24" i="1"/>
  <c r="E37" i="1"/>
  <c r="F37" i="1"/>
  <c r="G37" i="1"/>
  <c r="I37" i="1"/>
  <c r="E54" i="1"/>
  <c r="F54" i="1"/>
  <c r="E38" i="1"/>
  <c r="E52" i="1"/>
  <c r="F52" i="1"/>
  <c r="E63" i="1"/>
  <c r="F63" i="1"/>
  <c r="E13" i="2"/>
  <c r="E23" i="2"/>
  <c r="E39" i="2"/>
  <c r="E50" i="2"/>
  <c r="E52" i="2"/>
  <c r="E17" i="2"/>
  <c r="E31" i="2"/>
  <c r="E36" i="2"/>
  <c r="E67" i="1"/>
  <c r="F67" i="1"/>
  <c r="E44" i="1"/>
  <c r="F44" i="1"/>
  <c r="G36" i="1"/>
  <c r="I36" i="1"/>
  <c r="E34" i="1"/>
  <c r="F34" i="1"/>
  <c r="G34" i="1"/>
  <c r="I34" i="1"/>
  <c r="E50" i="1"/>
  <c r="F50" i="1"/>
  <c r="E29" i="1"/>
  <c r="E66" i="1"/>
  <c r="F66" i="1"/>
  <c r="G66" i="1"/>
  <c r="K66" i="1"/>
  <c r="G64" i="1"/>
  <c r="K64" i="1"/>
  <c r="E60" i="1"/>
  <c r="F60" i="1"/>
  <c r="G60" i="1"/>
  <c r="J60" i="1"/>
  <c r="E40" i="1"/>
  <c r="F40" i="1"/>
  <c r="G40" i="1"/>
  <c r="I40" i="1"/>
  <c r="E56" i="1"/>
  <c r="F56" i="1"/>
  <c r="G56" i="1"/>
  <c r="I56" i="1"/>
  <c r="E45" i="1"/>
  <c r="F45" i="1"/>
  <c r="G45" i="1"/>
  <c r="I45" i="1"/>
  <c r="G28" i="1"/>
  <c r="I28" i="1"/>
  <c r="E26" i="1"/>
  <c r="F26" i="1"/>
  <c r="G26" i="1"/>
  <c r="I26" i="1"/>
  <c r="E62" i="1"/>
  <c r="F62" i="1"/>
  <c r="G62" i="1"/>
  <c r="K62" i="1"/>
  <c r="E49" i="1"/>
  <c r="F49" i="1"/>
  <c r="G49" i="1"/>
  <c r="I49" i="1"/>
  <c r="E36" i="1"/>
  <c r="F36" i="1"/>
  <c r="E53" i="1"/>
  <c r="F53" i="1"/>
  <c r="G53" i="1"/>
  <c r="J53" i="1"/>
  <c r="E31" i="1"/>
  <c r="F31" i="1"/>
  <c r="G31" i="1"/>
  <c r="I31" i="1"/>
  <c r="E23" i="1"/>
  <c r="F23" i="1"/>
  <c r="G23" i="1"/>
  <c r="I23" i="1"/>
  <c r="E64" i="1"/>
  <c r="F64" i="1"/>
  <c r="E42" i="1"/>
  <c r="F42" i="1"/>
  <c r="G42" i="1"/>
  <c r="I42" i="1"/>
  <c r="E33" i="1"/>
  <c r="F33" i="1"/>
  <c r="G33" i="1"/>
  <c r="I33" i="1"/>
  <c r="E48" i="1"/>
  <c r="F48" i="1"/>
  <c r="G48" i="1"/>
  <c r="I48" i="1"/>
  <c r="E28" i="1"/>
  <c r="F28" i="1"/>
  <c r="E22" i="1"/>
  <c r="F22" i="1"/>
  <c r="E65" i="1"/>
  <c r="F65" i="1"/>
  <c r="G65" i="1"/>
  <c r="K65" i="1"/>
  <c r="E59" i="1"/>
  <c r="F59" i="1"/>
  <c r="G59" i="1"/>
  <c r="J59" i="1"/>
  <c r="E39" i="1"/>
  <c r="F39" i="1"/>
  <c r="G39" i="1"/>
  <c r="I39" i="1"/>
  <c r="E55" i="1"/>
  <c r="F55" i="1"/>
  <c r="G55" i="1"/>
  <c r="I55" i="1"/>
  <c r="E43" i="1"/>
  <c r="F43" i="1"/>
  <c r="G43" i="1"/>
  <c r="I43" i="1"/>
  <c r="G27" i="1"/>
  <c r="I27" i="1"/>
  <c r="E25" i="1"/>
  <c r="F25" i="1"/>
  <c r="G25" i="1"/>
  <c r="I25" i="1"/>
  <c r="G63" i="1"/>
  <c r="K63" i="1"/>
  <c r="E58" i="1"/>
  <c r="F58" i="1"/>
  <c r="G58" i="1"/>
  <c r="K58" i="1"/>
  <c r="G52" i="1"/>
  <c r="K52" i="1"/>
  <c r="E47" i="1"/>
  <c r="F47" i="1"/>
  <c r="G47" i="1"/>
  <c r="I47" i="1"/>
  <c r="E35" i="1"/>
  <c r="F35" i="1"/>
  <c r="G35" i="1"/>
  <c r="I35" i="1"/>
  <c r="G54" i="1"/>
  <c r="I54" i="1"/>
  <c r="E51" i="1"/>
  <c r="F51" i="1"/>
  <c r="G51" i="1"/>
  <c r="I51" i="1"/>
  <c r="E30" i="1"/>
  <c r="G24" i="1"/>
  <c r="I24" i="1"/>
  <c r="E21" i="1"/>
  <c r="F21" i="1"/>
  <c r="G21" i="1"/>
  <c r="I21" i="1"/>
  <c r="E32" i="1"/>
  <c r="F32" i="1"/>
  <c r="G67" i="1"/>
  <c r="J67" i="1"/>
  <c r="E61" i="1"/>
  <c r="F61" i="1"/>
  <c r="G61" i="1"/>
  <c r="J61" i="1"/>
  <c r="G44" i="1"/>
  <c r="I44" i="1"/>
  <c r="E41" i="1"/>
  <c r="F41" i="1"/>
  <c r="G41" i="1"/>
  <c r="I41" i="1"/>
  <c r="E57" i="1"/>
  <c r="F57" i="1"/>
  <c r="G57" i="1"/>
  <c r="I57" i="1"/>
  <c r="G50" i="1"/>
  <c r="I50" i="1"/>
  <c r="E46" i="1"/>
  <c r="F46" i="1"/>
  <c r="G46" i="1"/>
  <c r="I46" i="1"/>
  <c r="E27" i="2"/>
  <c r="E51" i="2"/>
  <c r="E24" i="2"/>
  <c r="E33" i="2"/>
  <c r="F30" i="1"/>
  <c r="G30" i="1"/>
  <c r="I30" i="1"/>
  <c r="E42" i="2"/>
  <c r="E26" i="2"/>
  <c r="E30" i="2"/>
  <c r="E44" i="2"/>
  <c r="E19" i="2"/>
  <c r="E46" i="2"/>
  <c r="F29" i="1"/>
  <c r="G29" i="1"/>
  <c r="I29" i="1"/>
  <c r="E41" i="2"/>
  <c r="E22" i="2"/>
  <c r="E25" i="2"/>
  <c r="E43" i="2"/>
  <c r="E55" i="2"/>
  <c r="E53" i="2"/>
  <c r="E20" i="2"/>
  <c r="E14" i="2"/>
  <c r="E21" i="2"/>
  <c r="E12" i="2"/>
  <c r="E48" i="2"/>
  <c r="E38" i="2"/>
  <c r="E47" i="2"/>
  <c r="E32" i="2"/>
  <c r="E40" i="2"/>
  <c r="E45" i="2"/>
  <c r="E18" i="2"/>
  <c r="F38" i="1"/>
  <c r="G38" i="1"/>
  <c r="E15" i="2"/>
  <c r="E28" i="2"/>
  <c r="E16" i="2"/>
  <c r="E49" i="2"/>
  <c r="E35" i="2"/>
  <c r="E11" i="2"/>
  <c r="E54" i="2"/>
  <c r="E37" i="2"/>
  <c r="E34" i="2"/>
  <c r="I38" i="1"/>
  <c r="C11" i="1"/>
  <c r="C12" i="1"/>
  <c r="O71" i="1" l="1"/>
  <c r="O70" i="1"/>
  <c r="O69" i="1"/>
  <c r="O23" i="1"/>
  <c r="O61" i="1"/>
  <c r="O35" i="1"/>
  <c r="O40" i="1"/>
  <c r="O22" i="1"/>
  <c r="O31" i="1"/>
  <c r="O38" i="1"/>
  <c r="O63" i="1"/>
  <c r="O56" i="1"/>
  <c r="O25" i="1"/>
  <c r="O65" i="1"/>
  <c r="O59" i="1"/>
  <c r="O48" i="1"/>
  <c r="O44" i="1"/>
  <c r="O43" i="1"/>
  <c r="O52" i="1"/>
  <c r="O45" i="1"/>
  <c r="O62" i="1"/>
  <c r="O53" i="1"/>
  <c r="O46" i="1"/>
  <c r="O29" i="1"/>
  <c r="O24" i="1"/>
  <c r="O30" i="1"/>
  <c r="O39" i="1"/>
  <c r="O42" i="1"/>
  <c r="O34" i="1"/>
  <c r="O55" i="1"/>
  <c r="O26" i="1"/>
  <c r="C15" i="1"/>
  <c r="O27" i="1"/>
  <c r="O51" i="1"/>
  <c r="O57" i="1"/>
  <c r="O28" i="1"/>
  <c r="O60" i="1"/>
  <c r="O66" i="1"/>
  <c r="O67" i="1"/>
  <c r="O32" i="1"/>
  <c r="O58" i="1"/>
  <c r="O37" i="1"/>
  <c r="O41" i="1"/>
  <c r="O49" i="1"/>
  <c r="O21" i="1"/>
  <c r="O47" i="1"/>
  <c r="O54" i="1"/>
  <c r="O64" i="1"/>
  <c r="O50" i="1"/>
  <c r="O33" i="1"/>
  <c r="O68" i="1"/>
  <c r="O3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<sst xmlns="http://schemas.openxmlformats.org/spreadsheetml/2006/main" count="526" uniqueCount="269">
  <si>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</si>
  <si>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</si>
  <si>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</si>
  <si>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</si>
  <si>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</si>
  <si>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</si>
  <si>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</si>
  <si>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</si>
  <si>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</si>
  <si>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</si>
  <si>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</si>
  <si>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</si>
  <si>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</si>
  <si>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</si>
  <si>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</si>
  <si>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</si>
  <si>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</si>
  <si>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</si>
  <si>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</si>
  <si>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</si>
  <si>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</si>
  <si>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</si>
  <si>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</si>
  <si>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</si>
  <si>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</si>
  <si>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</si>
  <si>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</si>
  <si>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</si>
  <si>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3877</t>
  </si>
  <si>
    <t>Diethelm R</t>
  </si>
  <si>
    <t>BBSAG Bull.21</t>
  </si>
  <si>
    <t>B</t>
  </si>
  <si>
    <t>Peter H</t>
  </si>
  <si>
    <t>BBSAG Bull.27</t>
  </si>
  <si>
    <t>Locher K</t>
  </si>
  <si>
    <t>BBSAG Bull.33</t>
  </si>
  <si>
    <t>BBSAG Bull.45</t>
  </si>
  <si>
    <t>BBSAG Bull.46</t>
  </si>
  <si>
    <t>BBSAG Bull.52</t>
  </si>
  <si>
    <t>BBSAG Bull.57</t>
  </si>
  <si>
    <t>BBSAG Bull.59</t>
  </si>
  <si>
    <t>BBSAG Bull.64</t>
  </si>
  <si>
    <t>BBSAG Bull.82</t>
  </si>
  <si>
    <t>BBSAG Bull.90</t>
  </si>
  <si>
    <t>BBSAG Bull.93</t>
  </si>
  <si>
    <t>Eccentric orbit?</t>
  </si>
  <si>
    <t>EA/SD</t>
  </si>
  <si>
    <t># of data points:</t>
  </si>
  <si>
    <t>CX Gem / GSC 01342-00844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</si>
  <si>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</si>
  <si>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</si>
  <si>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</si>
  <si>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</si>
  <si>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</si>
  <si>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</si>
  <si>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II</t>
  </si>
  <si>
    <t>IBVS 5802</t>
  </si>
  <si>
    <t>Add cycle</t>
  </si>
  <si>
    <t>Old Cycle</t>
  </si>
  <si>
    <t>Start of linear fit &gt;&gt;&gt;&gt;&gt;&gt;&gt;&gt;&gt;&gt;&gt;&gt;&gt;&gt;&gt;&gt;&gt;&gt;&gt;&gt;&gt;</t>
  </si>
  <si>
    <t>IBVS 5918</t>
  </si>
  <si>
    <t>IBVS 6011</t>
  </si>
  <si>
    <t>I</t>
  </si>
  <si>
    <t>OEJV 0003</t>
  </si>
  <si>
    <t>OEJV 0160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</si>
  <si>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</si>
  <si>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</si>
  <si>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</si>
  <si>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</si>
  <si>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</si>
  <si>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</si>
  <si>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</si>
  <si>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</si>
  <si>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</si>
  <si>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</si>
  <si>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</si>
  <si>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</si>
  <si>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</si>
  <si>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2428183.34 </t>
  </si>
  <si>
    <t> 15.01.1936 20:09 </t>
  </si>
  <si>
    <t> -0.08 </t>
  </si>
  <si>
    <t>P </t>
  </si>
  <si>
    <t> C.Hoffmeister </t>
  </si>
  <si>
    <t> VSS 1.111 </t>
  </si>
  <si>
    <t>2428248.37 </t>
  </si>
  <si>
    <t> 20.03.1936 20:52 </t>
  </si>
  <si>
    <t> 0.04 </t>
  </si>
  <si>
    <t>2428410.59 </t>
  </si>
  <si>
    <t> 30.08.1936 02:09 </t>
  </si>
  <si>
    <t> -0.02 </t>
  </si>
  <si>
    <t>2428845.42 </t>
  </si>
  <si>
    <t> 07.11.1937 22:04 </t>
  </si>
  <si>
    <t> -0.09 </t>
  </si>
  <si>
    <t>2429163.59 </t>
  </si>
  <si>
    <t> 22.09.1938 02:09 </t>
  </si>
  <si>
    <t> 0.01 </t>
  </si>
  <si>
    <t>2429639.59 </t>
  </si>
  <si>
    <t> 11.01.1940 02:09 </t>
  </si>
  <si>
    <t> 0.00 </t>
  </si>
  <si>
    <t>2429691.49 </t>
  </si>
  <si>
    <t> 02.03.1940 23:45 </t>
  </si>
  <si>
    <t> -0.03 </t>
  </si>
  <si>
    <t>2430260.62 </t>
  </si>
  <si>
    <t> 23.09.1941 02:52 </t>
  </si>
  <si>
    <t> 0.05 </t>
  </si>
  <si>
    <t>2430375.27 </t>
  </si>
  <si>
    <t> 15.01.1942 18:28 </t>
  </si>
  <si>
    <t> 0.02 </t>
  </si>
  <si>
    <t>2431145.52 </t>
  </si>
  <si>
    <t> 25.02.1944 00:28 </t>
  </si>
  <si>
    <t> -0.00 </t>
  </si>
  <si>
    <t>2442471.344 </t>
  </si>
  <si>
    <t> 27.02.1975 20:15 </t>
  </si>
  <si>
    <t> -0.059 </t>
  </si>
  <si>
    <t>V </t>
  </si>
  <si>
    <t> R.Diethelm </t>
  </si>
  <si>
    <t> BBS 21 </t>
  </si>
  <si>
    <t>2442842.469 </t>
  </si>
  <si>
    <t> 04.03.1976 23:15 </t>
  </si>
  <si>
    <t> -0.008 </t>
  </si>
  <si>
    <t> H.Peter </t>
  </si>
  <si>
    <t> BBS 27 </t>
  </si>
  <si>
    <t>2443210.311 </t>
  </si>
  <si>
    <t> 07.03.1977 19:27 </t>
  </si>
  <si>
    <t> 0.005 </t>
  </si>
  <si>
    <t> K.Locher </t>
  </si>
  <si>
    <t> BBS 33 </t>
  </si>
  <si>
    <t>2444203.422 </t>
  </si>
  <si>
    <t> 25.11.1979 22:07 </t>
  </si>
  <si>
    <t> -0.022 </t>
  </si>
  <si>
    <t> BBS 45 </t>
  </si>
  <si>
    <t>2444294.328 </t>
  </si>
  <si>
    <t> 24.02.1980 19:52 </t>
  </si>
  <si>
    <t> 0.009 </t>
  </si>
  <si>
    <t> BBS 46 </t>
  </si>
  <si>
    <t>2444586.426 </t>
  </si>
  <si>
    <t> 12.12.1980 22:13 </t>
  </si>
  <si>
    <t> 0.008 </t>
  </si>
  <si>
    <t> BBS 52 </t>
  </si>
  <si>
    <t>2444906.651 </t>
  </si>
  <si>
    <t> 29.10.1981 03:37 </t>
  </si>
  <si>
    <t> BBS 57 </t>
  </si>
  <si>
    <t>2445010.502 </t>
  </si>
  <si>
    <t> 10.02.1982 00:02 </t>
  </si>
  <si>
    <t> -0.001 </t>
  </si>
  <si>
    <t> BBS 59 </t>
  </si>
  <si>
    <t>2445352.372 </t>
  </si>
  <si>
    <t> 17.01.1983 20:55 </t>
  </si>
  <si>
    <t> 0.004 </t>
  </si>
  <si>
    <t> BBS 64 </t>
  </si>
  <si>
    <t>2445352.373 </t>
  </si>
  <si>
    <t> 17.01.1983 20:57 </t>
  </si>
  <si>
    <t>2446769.592 </t>
  </si>
  <si>
    <t> 05.12.1986 02:12 </t>
  </si>
  <si>
    <t> 0.002 </t>
  </si>
  <si>
    <t> J.Borovicka </t>
  </si>
  <si>
    <t> BRNO 28 </t>
  </si>
  <si>
    <t>2446821.534 </t>
  </si>
  <si>
    <t> 26.01.1987 00:48 </t>
  </si>
  <si>
    <t> 0.015 </t>
  </si>
  <si>
    <t> BBS 82 </t>
  </si>
  <si>
    <t>2447470.633 </t>
  </si>
  <si>
    <t> 05.11.1988 03:11 </t>
  </si>
  <si>
    <t> J.Manek </t>
  </si>
  <si>
    <t> BRNO 30 </t>
  </si>
  <si>
    <t>2447470.634 </t>
  </si>
  <si>
    <t> 05.11.1988 03:12 </t>
  </si>
  <si>
    <t> 0.006 </t>
  </si>
  <si>
    <t> A.Dedoch </t>
  </si>
  <si>
    <t>2447535.540 </t>
  </si>
  <si>
    <t> 09.01.1989 00:57 </t>
  </si>
  <si>
    <t> 0.001 </t>
  </si>
  <si>
    <t> BBS 90 </t>
  </si>
  <si>
    <t>2447825.474 </t>
  </si>
  <si>
    <t> 25.10.1989 23:22 </t>
  </si>
  <si>
    <t> P.Frank </t>
  </si>
  <si>
    <t>BAVM 56 </t>
  </si>
  <si>
    <t>2447840.634 </t>
  </si>
  <si>
    <t> 10.11.1989 03:12 </t>
  </si>
  <si>
    <t> 0.013 </t>
  </si>
  <si>
    <t> BBS 93 </t>
  </si>
  <si>
    <t>2447970.443 </t>
  </si>
  <si>
    <t> 19.03.1990 22:37 </t>
  </si>
  <si>
    <t> 0.000 </t>
  </si>
  <si>
    <t>2448619.550 </t>
  </si>
  <si>
    <t> 29.12.1991 01:12 </t>
  </si>
  <si>
    <t> -0.002 </t>
  </si>
  <si>
    <t> BRNO 31 </t>
  </si>
  <si>
    <t>2449002.520 </t>
  </si>
  <si>
    <t> 15.01.1993 00:28 </t>
  </si>
  <si>
    <t> -0.007 </t>
  </si>
  <si>
    <t>E </t>
  </si>
  <si>
    <t>?</t>
  </si>
  <si>
    <t>IBVS 3877 </t>
  </si>
  <si>
    <t>2450482.4931 </t>
  </si>
  <si>
    <t> 02.02.1997 23:50 </t>
  </si>
  <si>
    <t> -0.0036 </t>
  </si>
  <si>
    <t> BRNO 32 </t>
  </si>
  <si>
    <t>2451103.469 </t>
  </si>
  <si>
    <t> 16.10.1998 23:15 </t>
  </si>
  <si>
    <t> -0.009 </t>
  </si>
  <si>
    <t> BBS 119 </t>
  </si>
  <si>
    <t>2451603.293 </t>
  </si>
  <si>
    <t> 28.02.2000 19:01 </t>
  </si>
  <si>
    <t> BBS 122 </t>
  </si>
  <si>
    <t>2451910.525 </t>
  </si>
  <si>
    <t> 01.01.2001 00:36 </t>
  </si>
  <si>
    <t> -0.013 </t>
  </si>
  <si>
    <t> BBS 124 </t>
  </si>
  <si>
    <t>2452202.637 </t>
  </si>
  <si>
    <t> 20.10.2001 03:17 </t>
  </si>
  <si>
    <t> -0.000 </t>
  </si>
  <si>
    <t> BBS 126 </t>
  </si>
  <si>
    <t>2453377.514 </t>
  </si>
  <si>
    <t> 07.01.2005 00:20 </t>
  </si>
  <si>
    <t> -0.011 </t>
  </si>
  <si>
    <t>OEJV 0003 </t>
  </si>
  <si>
    <t>2454092.6143 </t>
  </si>
  <si>
    <t> 23.12.2006 02:44 </t>
  </si>
  <si>
    <t> -0.0134 </t>
  </si>
  <si>
    <t>C </t>
  </si>
  <si>
    <t>-I</t>
  </si>
  <si>
    <t> F. Agerer </t>
  </si>
  <si>
    <t>BAVM 183 </t>
  </si>
  <si>
    <t>2454116.4074 </t>
  </si>
  <si>
    <t> 15.01.2007 21:46 </t>
  </si>
  <si>
    <t>11985.5</t>
  </si>
  <si>
    <t> -0.0210 </t>
  </si>
  <si>
    <t>BAVM 186 </t>
  </si>
  <si>
    <t>2454830.4322 </t>
  </si>
  <si>
    <t> 29.12.2008 22:22 </t>
  </si>
  <si>
    <t>12315.5</t>
  </si>
  <si>
    <t> -0.0167 </t>
  </si>
  <si>
    <t> F.Agerer </t>
  </si>
  <si>
    <t>BAVM 209 </t>
  </si>
  <si>
    <t>2455622.33095 </t>
  </si>
  <si>
    <t> 01.03.2011 19:56 </t>
  </si>
  <si>
    <t>12681.5</t>
  </si>
  <si>
    <t> -0.03158 </t>
  </si>
  <si>
    <t>R</t>
  </si>
  <si>
    <t> M.Lehky </t>
  </si>
  <si>
    <t>OEJV 0160 </t>
  </si>
  <si>
    <t>2455649.37565 </t>
  </si>
  <si>
    <t> 28.03.2011 21:00 </t>
  </si>
  <si>
    <t>12694</t>
  </si>
  <si>
    <t> -0.03311 </t>
  </si>
  <si>
    <t>2455893.8712 </t>
  </si>
  <si>
    <t> 28.11.2011 08:54 </t>
  </si>
  <si>
    <t>12807</t>
  </si>
  <si>
    <t> -0.0355 </t>
  </si>
  <si>
    <t>IBVS 6011 </t>
  </si>
  <si>
    <t>2456006.3819 </t>
  </si>
  <si>
    <t> 19.03.2012 21:09 </t>
  </si>
  <si>
    <t>12859</t>
  </si>
  <si>
    <t> -0.0371 </t>
  </si>
  <si>
    <t>2456246.55268 </t>
  </si>
  <si>
    <t> 15.11.2012 01:15 </t>
  </si>
  <si>
    <t>12970</t>
  </si>
  <si>
    <t> -0.03686 </t>
  </si>
  <si>
    <t>2456643.6041 </t>
  </si>
  <si>
    <t> 17.12.2013 02:29 </t>
  </si>
  <si>
    <t>13153.5</t>
  </si>
  <si>
    <t> -0.0241 </t>
  </si>
  <si>
    <t>BAVM 234 </t>
  </si>
  <si>
    <t>BAD?</t>
  </si>
  <si>
    <t>JAVSO 49, 256</t>
  </si>
  <si>
    <t>JAVSO, 49, 265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</si>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</sst>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>
      <alignment horizontal="left" vertical="center" wrapText="1"/>
    </xf>
    <xf numFmtId="165" fontId="24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Gem - O-C Diagr.</a:t>
            </a:r>
          </a:p>
        </c:rich>
      </c:tx>
      <c:layout>
        <c:manualLayout>
          <c:xMode val="edge"/>
          <c:yMode val="edge"/>
          <c:x val="0.372580645161290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23926380368099"/>
          <c:w val="0.8096774193548387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8-465E-A022-E5BD5B9641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-7.9999999998108251E-2</c:v>
                </c:pt>
                <c:pt idx="2">
                  <c:v>3.9045000001351582E-2</c:v>
                </c:pt>
                <c:pt idx="3">
                  <c:v>-1.8342499999562278E-2</c:v>
                </c:pt>
                <c:pt idx="4">
                  <c:v>-9.1741000000183703E-2</c:v>
                </c:pt>
                <c:pt idx="5">
                  <c:v>1.457950000258279E-2</c:v>
                </c:pt>
                <c:pt idx="6">
                  <c:v>9.0950000230805017E-4</c:v>
                </c:pt>
                <c:pt idx="7">
                  <c:v>-2.7854499996465165E-2</c:v>
                </c:pt>
                <c:pt idx="8">
                  <c:v>4.9439999998867279E-2</c:v>
                </c:pt>
                <c:pt idx="9">
                  <c:v>2.3419500001182314E-2</c:v>
                </c:pt>
                <c:pt idx="10">
                  <c:v>-3.2464999967487529E-3</c:v>
                </c:pt>
                <c:pt idx="11">
                  <c:v>-5.9044749999884516E-2</c:v>
                </c:pt>
                <c:pt idx="12">
                  <c:v>-8.3375000031082891E-3</c:v>
                </c:pt>
                <c:pt idx="13">
                  <c:v>4.9175000021932647E-3</c:v>
                </c:pt>
                <c:pt idx="14">
                  <c:v>-2.1694000002753455E-2</c:v>
                </c:pt>
                <c:pt idx="15">
                  <c:v>9.690000006230548E-4</c:v>
                </c:pt>
                <c:pt idx="16">
                  <c:v>8.9690000022528693E-3</c:v>
                </c:pt>
                <c:pt idx="17">
                  <c:v>7.6714999959222041E-3</c:v>
                </c:pt>
                <c:pt idx="18">
                  <c:v>5.2934999985154718E-3</c:v>
                </c:pt>
                <c:pt idx="19">
                  <c:v>-1.2344999995548278E-3</c:v>
                </c:pt>
                <c:pt idx="20">
                  <c:v>4.4025000024703331E-3</c:v>
                </c:pt>
                <c:pt idx="21">
                  <c:v>5.4024999990360811E-3</c:v>
                </c:pt>
                <c:pt idx="22">
                  <c:v>1.8849999978556298E-3</c:v>
                </c:pt>
                <c:pt idx="23">
                  <c:v>1.5121000004000962E-2</c:v>
                </c:pt>
                <c:pt idx="24">
                  <c:v>4.5709999976679683E-3</c:v>
                </c:pt>
                <c:pt idx="25">
                  <c:v>5.5709999942337163E-3</c:v>
                </c:pt>
                <c:pt idx="26">
                  <c:v>6.1599999753525481E-4</c:v>
                </c:pt>
                <c:pt idx="27">
                  <c:v>-9.8299999808659777E-4</c:v>
                </c:pt>
                <c:pt idx="28">
                  <c:v>1.3127499994880054E-2</c:v>
                </c:pt>
                <c:pt idx="29">
                  <c:v>2.1749999723397195E-4</c:v>
                </c:pt>
                <c:pt idx="30">
                  <c:v>-2.3324999929172918E-3</c:v>
                </c:pt>
                <c:pt idx="33">
                  <c:v>-9.2105000076116994E-3</c:v>
                </c:pt>
                <c:pt idx="34">
                  <c:v>4.3599999480647966E-4</c:v>
                </c:pt>
                <c:pt idx="35">
                  <c:v>-1.27509999947506E-2</c:v>
                </c:pt>
                <c:pt idx="36">
                  <c:v>-4.8499998229090124E-5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8-465E-A022-E5BD5B9641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2">
                  <c:v>-3.6409999956958927E-3</c:v>
                </c:pt>
                <c:pt idx="38">
                  <c:v>-1.3388249994022772E-2</c:v>
                </c:pt>
                <c:pt idx="39">
                  <c:v>-2.0971750003809575E-2</c:v>
                </c:pt>
                <c:pt idx="40">
                  <c:v>-1.6676749997714069E-2</c:v>
                </c:pt>
                <c:pt idx="46">
                  <c:v>-2.4119749999954365E-2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8-465E-A022-E5BD5B9641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1">
                  <c:v>-6.9670000011683442E-3</c:v>
                </c:pt>
                <c:pt idx="37">
                  <c:v>-1.1334000002534594E-2</c:v>
                </c:pt>
                <c:pt idx="41">
                  <c:v>-3.1577749992720783E-2</c:v>
                </c:pt>
                <c:pt idx="42">
                  <c:v>-3.3108999996329658E-2</c:v>
                </c:pt>
                <c:pt idx="43">
                  <c:v>-3.5489499998220708E-2</c:v>
                </c:pt>
                <c:pt idx="44">
                  <c:v>-3.7111500001628883E-2</c:v>
                </c:pt>
                <c:pt idx="45">
                  <c:v>-3.6865000001853332E-2</c:v>
                </c:pt>
                <c:pt idx="47">
                  <c:v>-4.3730000004870817E-2</c:v>
                </c:pt>
                <c:pt idx="48">
                  <c:v>-4.3730000004870817E-2</c:v>
                </c:pt>
                <c:pt idx="49">
                  <c:v>-4.5000500002061017E-2</c:v>
                </c:pt>
                <c:pt idx="50">
                  <c:v>-4.915150000306312E-2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98-465E-A022-E5BD5B9641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98-465E-A022-E5BD5B9641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98-465E-A022-E5BD5B9641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6">
                    <c:v>0</c:v>
                  </c:pt>
                  <c:pt idx="22">
                    <c:v>0</c:v>
                  </c:pt>
                  <c:pt idx="24">
                    <c:v>0</c:v>
                  </c:pt>
                  <c:pt idx="25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5.0000000000000001E-3</c:v>
                  </c:pt>
                  <c:pt idx="38">
                    <c:v>3.3E-3</c:v>
                  </c:pt>
                  <c:pt idx="39">
                    <c:v>3.0999999999999999E-3</c:v>
                  </c:pt>
                  <c:pt idx="40">
                    <c:v>3.2000000000000002E-3</c:v>
                  </c:pt>
                  <c:pt idx="41">
                    <c:v>8.9999999999999998E-4</c:v>
                  </c:pt>
                  <c:pt idx="42">
                    <c:v>2.0000000000000001E-4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2.7799999999999998E-2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2.0000000000000001E-4</c:v>
                  </c:pt>
                  <c:pt idx="5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98-465E-A022-E5BD5B9641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5.6528533885623768E-2</c:v>
                </c:pt>
                <c:pt idx="1">
                  <c:v>5.6528533885623768E-2</c:v>
                </c:pt>
                <c:pt idx="2">
                  <c:v>5.6331992912759594E-2</c:v>
                </c:pt>
                <c:pt idx="3">
                  <c:v>5.5840640480599155E-2</c:v>
                </c:pt>
                <c:pt idx="4">
                  <c:v>5.4523815962409183E-2</c:v>
                </c:pt>
                <c:pt idx="5">
                  <c:v>5.3560765195374727E-2</c:v>
                </c:pt>
                <c:pt idx="6">
                  <c:v>5.211946472770411E-2</c:v>
                </c:pt>
                <c:pt idx="7">
                  <c:v>5.1962231949412775E-2</c:v>
                </c:pt>
                <c:pt idx="8">
                  <c:v>5.0239222753970171E-2</c:v>
                </c:pt>
                <c:pt idx="9">
                  <c:v>4.98920003685768E-2</c:v>
                </c:pt>
                <c:pt idx="10">
                  <c:v>4.7559714157255253E-2</c:v>
                </c:pt>
                <c:pt idx="11">
                  <c:v>1.3266590075337821E-2</c:v>
                </c:pt>
                <c:pt idx="12">
                  <c:v>1.2143030847130955E-2</c:v>
                </c:pt>
                <c:pt idx="13">
                  <c:v>1.10292986675673E-2</c:v>
                </c:pt>
                <c:pt idx="14">
                  <c:v>8.0222217827454201E-3</c:v>
                </c:pt>
                <c:pt idx="15">
                  <c:v>7.7470644207355763E-3</c:v>
                </c:pt>
                <c:pt idx="16">
                  <c:v>7.7470644207355763E-3</c:v>
                </c:pt>
                <c:pt idx="17">
                  <c:v>6.8626300428467901E-3</c:v>
                </c:pt>
                <c:pt idx="18">
                  <c:v>5.893027910050197E-3</c:v>
                </c:pt>
                <c:pt idx="19">
                  <c:v>5.5785623534675144E-3</c:v>
                </c:pt>
                <c:pt idx="20">
                  <c:v>4.5434465630495302E-3</c:v>
                </c:pt>
                <c:pt idx="21">
                  <c:v>4.5434465630495302E-3</c:v>
                </c:pt>
                <c:pt idx="22">
                  <c:v>2.5230198884838156E-4</c:v>
                </c:pt>
                <c:pt idx="23">
                  <c:v>9.5069210557040262E-5</c:v>
                </c:pt>
                <c:pt idx="24">
                  <c:v>-1.8703405180847121E-3</c:v>
                </c:pt>
                <c:pt idx="25">
                  <c:v>-1.8703405180847121E-3</c:v>
                </c:pt>
                <c:pt idx="26">
                  <c:v>-2.0668814909488853E-3</c:v>
                </c:pt>
                <c:pt idx="27">
                  <c:v>-2.9447645030755282E-3</c:v>
                </c:pt>
                <c:pt idx="28">
                  <c:v>-2.9906240634105033E-3</c:v>
                </c:pt>
                <c:pt idx="29">
                  <c:v>-3.3837060091388566E-3</c:v>
                </c:pt>
                <c:pt idx="30">
                  <c:v>-5.349115737780602E-3</c:v>
                </c:pt>
                <c:pt idx="31">
                  <c:v>-6.5087074776792389E-3</c:v>
                </c:pt>
                <c:pt idx="32">
                  <c:v>-1.0989841658982417E-2</c:v>
                </c:pt>
                <c:pt idx="33">
                  <c:v>-1.2870083632716363E-2</c:v>
                </c:pt>
                <c:pt idx="34">
                  <c:v>-1.4383449123770507E-2</c:v>
                </c:pt>
                <c:pt idx="35">
                  <c:v>-1.5313743061994269E-2</c:v>
                </c:pt>
                <c:pt idx="36">
                  <c:v>-1.6198177439883048E-2</c:v>
                </c:pt>
                <c:pt idx="37">
                  <c:v>-1.9755569048724615E-2</c:v>
                </c:pt>
                <c:pt idx="38">
                  <c:v>-2.1920795433111616E-2</c:v>
                </c:pt>
                <c:pt idx="39">
                  <c:v>-2.1992860456495143E-2</c:v>
                </c:pt>
                <c:pt idx="40">
                  <c:v>-2.4154811158001062E-2</c:v>
                </c:pt>
                <c:pt idx="41">
                  <c:v>-2.6552611026943999E-2</c:v>
                </c:pt>
                <c:pt idx="42">
                  <c:v>-2.6634503098970731E-2</c:v>
                </c:pt>
                <c:pt idx="43">
                  <c:v>-2.7374807430092456E-2</c:v>
                </c:pt>
                <c:pt idx="44">
                  <c:v>-2.7715478449723698E-2</c:v>
                </c:pt>
                <c:pt idx="45">
                  <c:v>-2.8442680049321149E-2</c:v>
                </c:pt>
                <c:pt idx="46">
                  <c:v>-2.9644855666673679E-2</c:v>
                </c:pt>
                <c:pt idx="47">
                  <c:v>-3.7680105773937357E-2</c:v>
                </c:pt>
                <c:pt idx="48">
                  <c:v>-3.7680105773937357E-2</c:v>
                </c:pt>
                <c:pt idx="49">
                  <c:v>-3.8682464735544646E-2</c:v>
                </c:pt>
                <c:pt idx="50">
                  <c:v>-3.9769991452059748E-2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98-465E-A022-E5BD5B96418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105</c:v>
                </c:pt>
                <c:pt idx="4">
                  <c:v>306</c:v>
                </c:pt>
                <c:pt idx="5">
                  <c:v>453</c:v>
                </c:pt>
                <c:pt idx="6">
                  <c:v>673</c:v>
                </c:pt>
                <c:pt idx="7">
                  <c:v>697</c:v>
                </c:pt>
                <c:pt idx="8">
                  <c:v>960</c:v>
                </c:pt>
                <c:pt idx="9">
                  <c:v>1013</c:v>
                </c:pt>
                <c:pt idx="10">
                  <c:v>1369</c:v>
                </c:pt>
                <c:pt idx="11">
                  <c:v>6603.5</c:v>
                </c:pt>
                <c:pt idx="12">
                  <c:v>6775</c:v>
                </c:pt>
                <c:pt idx="13">
                  <c:v>6945</c:v>
                </c:pt>
                <c:pt idx="14">
                  <c:v>7404</c:v>
                </c:pt>
                <c:pt idx="15">
                  <c:v>7446</c:v>
                </c:pt>
                <c:pt idx="16">
                  <c:v>7446</c:v>
                </c:pt>
                <c:pt idx="17">
                  <c:v>7581</c:v>
                </c:pt>
                <c:pt idx="18">
                  <c:v>7729</c:v>
                </c:pt>
                <c:pt idx="19">
                  <c:v>7777</c:v>
                </c:pt>
                <c:pt idx="20">
                  <c:v>7935</c:v>
                </c:pt>
                <c:pt idx="21">
                  <c:v>7935</c:v>
                </c:pt>
                <c:pt idx="22">
                  <c:v>8590</c:v>
                </c:pt>
                <c:pt idx="23">
                  <c:v>8614</c:v>
                </c:pt>
                <c:pt idx="24">
                  <c:v>8914</c:v>
                </c:pt>
                <c:pt idx="25">
                  <c:v>8914</c:v>
                </c:pt>
                <c:pt idx="26">
                  <c:v>8944</c:v>
                </c:pt>
                <c:pt idx="27">
                  <c:v>9078</c:v>
                </c:pt>
                <c:pt idx="28">
                  <c:v>9085</c:v>
                </c:pt>
                <c:pt idx="29">
                  <c:v>9145</c:v>
                </c:pt>
                <c:pt idx="30">
                  <c:v>9445</c:v>
                </c:pt>
                <c:pt idx="31">
                  <c:v>9622</c:v>
                </c:pt>
                <c:pt idx="32">
                  <c:v>10306</c:v>
                </c:pt>
                <c:pt idx="33">
                  <c:v>10593</c:v>
                </c:pt>
                <c:pt idx="34">
                  <c:v>10824</c:v>
                </c:pt>
                <c:pt idx="35">
                  <c:v>10966</c:v>
                </c:pt>
                <c:pt idx="36">
                  <c:v>11101</c:v>
                </c:pt>
                <c:pt idx="37">
                  <c:v>11644</c:v>
                </c:pt>
                <c:pt idx="38">
                  <c:v>11974.5</c:v>
                </c:pt>
                <c:pt idx="39">
                  <c:v>11985.5</c:v>
                </c:pt>
                <c:pt idx="40">
                  <c:v>12315.5</c:v>
                </c:pt>
                <c:pt idx="41">
                  <c:v>12681.5</c:v>
                </c:pt>
                <c:pt idx="42">
                  <c:v>12694</c:v>
                </c:pt>
                <c:pt idx="43">
                  <c:v>12807</c:v>
                </c:pt>
                <c:pt idx="44">
                  <c:v>12859</c:v>
                </c:pt>
                <c:pt idx="45">
                  <c:v>12970</c:v>
                </c:pt>
                <c:pt idx="46">
                  <c:v>13153.5</c:v>
                </c:pt>
                <c:pt idx="47">
                  <c:v>14380</c:v>
                </c:pt>
                <c:pt idx="48">
                  <c:v>14380</c:v>
                </c:pt>
                <c:pt idx="49">
                  <c:v>14533</c:v>
                </c:pt>
                <c:pt idx="50">
                  <c:v>14699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98-465E-A022-E5BD5B964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8624"/>
        <c:axId val="1"/>
      </c:scatterChart>
      <c:valAx>
        <c:axId val="67195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8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45161290322582"/>
          <c:y val="0.92024539877300615"/>
          <c:w val="0.790322580645161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323850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23E0412-28A8-8D1A-16E2-96AF30BD4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konkoly.hu/cgi-bin/IBVS?3877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56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83" TargetMode="External"/><Relationship Id="rId10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51"/>
  <sheetViews>
    <sheetView tabSelected="1" workbookViewId="0">
      <pane xSplit="14" ySplit="21" topLeftCell="O61" activePane="bottomRight" state="frozen"/>
      <selection pane="topRight" activeCell="O1" sqref="O1"/>
      <selection pane="bottomLeft" activeCell="A22" sqref="A22"/>
      <selection pane="bottomRight" activeCell="J78" sqref="J78"/>
    </sheetView>
  </sheetViews>
  <sheetFormatPr defaultColWidth="10.28515625" defaultRowHeight="12.75" x14ac:dyDescent="0.2"/>
  <cols>
    <col min="1" max="1" width="15.85546875" customWidth="1"/>
    <col min="2" max="2" width="5.14062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24</v>
      </c>
      <c r="B2" s="11" t="s">
        <v>46</v>
      </c>
    </row>
    <row r="3" spans="1:6" ht="13.5" thickBot="1" x14ac:dyDescent="0.25">
      <c r="C3" s="10" t="s">
        <v>45</v>
      </c>
    </row>
    <row r="4" spans="1:6" ht="14.25" thickTop="1" thickBot="1" x14ac:dyDescent="0.25">
      <c r="A4" s="6" t="s">
        <v>0</v>
      </c>
      <c r="C4" s="3">
        <v>28183.42</v>
      </c>
      <c r="D4" s="4">
        <v>2.1636985000000002</v>
      </c>
    </row>
    <row r="5" spans="1:6" ht="13.5" thickTop="1" x14ac:dyDescent="0.2">
      <c r="A5" s="14" t="s">
        <v>49</v>
      </c>
      <c r="B5" s="15"/>
      <c r="C5" s="16">
        <v>-9.5</v>
      </c>
      <c r="D5" s="15" t="s">
        <v>50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28183.42</v>
      </c>
    </row>
    <row r="8" spans="1:6" x14ac:dyDescent="0.2">
      <c r="A8" t="s">
        <v>3</v>
      </c>
      <c r="C8">
        <f>+D4</f>
        <v>2.1636985000000002</v>
      </c>
    </row>
    <row r="9" spans="1:6" x14ac:dyDescent="0.2">
      <c r="A9" s="29" t="s">
        <v>59</v>
      </c>
      <c r="B9" s="30">
        <v>32</v>
      </c>
      <c r="C9" s="28" t="str">
        <f>"F"&amp;B9</f>
        <v>F32</v>
      </c>
      <c r="D9" s="9" t="str">
        <f>"G"&amp;B9</f>
        <v>G32</v>
      </c>
    </row>
    <row r="10" spans="1:6" ht="13.5" thickBot="1" x14ac:dyDescent="0.25">
      <c r="A10" s="15"/>
      <c r="B10" s="15"/>
      <c r="C10" s="5" t="s">
        <v>20</v>
      </c>
      <c r="D10" s="5" t="s">
        <v>21</v>
      </c>
      <c r="E10" s="15"/>
    </row>
    <row r="11" spans="1:6" x14ac:dyDescent="0.2">
      <c r="A11" s="15" t="s">
        <v>16</v>
      </c>
      <c r="B11" s="15"/>
      <c r="C11" s="27">
        <f ca="1">INTERCEPT(INDIRECT($D$9):G992,INDIRECT($C$9):F992)</f>
        <v>5.6528533885623768E-2</v>
      </c>
      <c r="D11" s="17"/>
      <c r="E11" s="15"/>
    </row>
    <row r="12" spans="1:6" x14ac:dyDescent="0.2">
      <c r="A12" s="15" t="s">
        <v>17</v>
      </c>
      <c r="B12" s="15"/>
      <c r="C12" s="27">
        <f ca="1">SLOPE(INDIRECT($D$9):G992,INDIRECT($C$9):F992)</f>
        <v>-6.5513657621391605E-6</v>
      </c>
      <c r="D12" s="17"/>
      <c r="E12" s="15"/>
    </row>
    <row r="13" spans="1:6" x14ac:dyDescent="0.2">
      <c r="A13" s="15" t="s">
        <v>19</v>
      </c>
      <c r="B13" s="15"/>
      <c r="C13" s="17" t="s">
        <v>14</v>
      </c>
    </row>
    <row r="14" spans="1:6" x14ac:dyDescent="0.2">
      <c r="A14" s="15"/>
      <c r="B14" s="15"/>
      <c r="C14" s="15"/>
    </row>
    <row r="15" spans="1:6" x14ac:dyDescent="0.2">
      <c r="A15" s="18" t="s">
        <v>18</v>
      </c>
      <c r="B15" s="15"/>
      <c r="C15" s="19">
        <f ca="1">(C7+C11)+(C8+C12)*INT(MAX(F21:F3533))</f>
        <v>59987.584481508544</v>
      </c>
      <c r="E15" s="20" t="s">
        <v>57</v>
      </c>
      <c r="F15" s="16">
        <v>1</v>
      </c>
    </row>
    <row r="16" spans="1:6" x14ac:dyDescent="0.2">
      <c r="A16" s="22" t="s">
        <v>4</v>
      </c>
      <c r="B16" s="15"/>
      <c r="C16" s="23">
        <f ca="1">+C8+C12</f>
        <v>2.1636919486342379</v>
      </c>
      <c r="E16" s="20" t="s">
        <v>51</v>
      </c>
      <c r="F16" s="21">
        <f ca="1">NOW()+15018.5+$C$5/24</f>
        <v>60308.713432291661</v>
      </c>
    </row>
    <row r="17" spans="1:30" ht="13.5" thickBot="1" x14ac:dyDescent="0.25">
      <c r="A17" s="20" t="s">
        <v>47</v>
      </c>
      <c r="B17" s="15"/>
      <c r="C17" s="15">
        <f>COUNT(C21:C2191)</f>
        <v>51</v>
      </c>
      <c r="E17" s="20" t="s">
        <v>58</v>
      </c>
      <c r="F17" s="21">
        <f ca="1">ROUND(2*(F16-$C$7)/$C$8,0)/2+F15</f>
        <v>14848.5</v>
      </c>
    </row>
    <row r="18" spans="1:30" ht="14.25" thickTop="1" thickBot="1" x14ac:dyDescent="0.25">
      <c r="A18" s="22" t="s">
        <v>5</v>
      </c>
      <c r="B18" s="15"/>
      <c r="C18" s="25">
        <f ca="1">+C15</f>
        <v>59987.584481508544</v>
      </c>
      <c r="D18" s="26">
        <f ca="1">+C16</f>
        <v>2.1636919486342379</v>
      </c>
      <c r="E18" s="20" t="s">
        <v>52</v>
      </c>
      <c r="F18" s="9">
        <f ca="1">ROUND(2*(F16-$C$15)/$C$16,0)/2+F15</f>
        <v>149.5</v>
      </c>
    </row>
    <row r="19" spans="1:30" ht="13.5" thickTop="1" x14ac:dyDescent="0.2">
      <c r="E19" s="20" t="s">
        <v>53</v>
      </c>
      <c r="F19" s="24">
        <f ca="1">+$C$15+$C$16*F18-15018.5-$C$5/24</f>
        <v>45292.952261162696</v>
      </c>
    </row>
    <row r="20" spans="1:30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73</v>
      </c>
      <c r="I20" s="8" t="s">
        <v>76</v>
      </c>
      <c r="J20" s="8" t="s">
        <v>70</v>
      </c>
      <c r="K20" s="8" t="s">
        <v>68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7" t="s">
        <v>264</v>
      </c>
    </row>
    <row r="21" spans="1:30" x14ac:dyDescent="0.2">
      <c r="A21" s="54" t="s">
        <v>83</v>
      </c>
      <c r="B21" s="56" t="s">
        <v>62</v>
      </c>
      <c r="C21" s="55">
        <v>28183.34</v>
      </c>
      <c r="D21" s="55" t="s">
        <v>76</v>
      </c>
      <c r="E21">
        <f t="shared" ref="E21:E67" si="0">+(C21-C$7)/C$8</f>
        <v>-3.6973728085548073E-2</v>
      </c>
      <c r="F21">
        <f t="shared" ref="F21:F68" si="1">ROUND(2*E21,0)/2</f>
        <v>0</v>
      </c>
      <c r="G21">
        <f>+C21-(C$7+F21*C$8)</f>
        <v>-7.9999999998108251E-2</v>
      </c>
      <c r="I21">
        <f>+G21</f>
        <v>-7.9999999998108251E-2</v>
      </c>
      <c r="O21">
        <f t="shared" ref="O21:O67" ca="1" si="2">+C$11+C$12*F21</f>
        <v>5.6528533885623768E-2</v>
      </c>
      <c r="Q21" s="2">
        <f t="shared" ref="Q21:Q67" si="3">+C21-15018.5</f>
        <v>13164.84</v>
      </c>
    </row>
    <row r="22" spans="1:30" x14ac:dyDescent="0.2">
      <c r="A22" t="s">
        <v>12</v>
      </c>
      <c r="C22" s="13">
        <v>28183.42</v>
      </c>
      <c r="D22" s="13" t="s">
        <v>14</v>
      </c>
      <c r="E22">
        <f t="shared" si="0"/>
        <v>0</v>
      </c>
      <c r="F22">
        <f t="shared" si="1"/>
        <v>0</v>
      </c>
      <c r="H22" s="9">
        <v>0</v>
      </c>
      <c r="O22">
        <f t="shared" ca="1" si="2"/>
        <v>5.6528533885623768E-2</v>
      </c>
      <c r="Q22" s="2">
        <f t="shared" si="3"/>
        <v>13164.919999999998</v>
      </c>
    </row>
    <row r="23" spans="1:30" x14ac:dyDescent="0.2">
      <c r="A23" s="54" t="s">
        <v>83</v>
      </c>
      <c r="B23" s="56" t="s">
        <v>62</v>
      </c>
      <c r="C23" s="55">
        <v>28248.37</v>
      </c>
      <c r="D23" s="55" t="s">
        <v>76</v>
      </c>
      <c r="E23">
        <f t="shared" si="0"/>
        <v>30.018045490164514</v>
      </c>
      <c r="F23">
        <f t="shared" si="1"/>
        <v>30</v>
      </c>
      <c r="G23">
        <f t="shared" ref="G23:G31" si="4">+C23-(C$7+F23*C$8)</f>
        <v>3.9045000001351582E-2</v>
      </c>
      <c r="I23">
        <f t="shared" ref="I23:I31" si="5">+G23</f>
        <v>3.9045000001351582E-2</v>
      </c>
      <c r="O23">
        <f t="shared" ca="1" si="2"/>
        <v>5.6331992912759594E-2</v>
      </c>
      <c r="Q23" s="2">
        <f t="shared" si="3"/>
        <v>13229.869999999999</v>
      </c>
    </row>
    <row r="24" spans="1:30" x14ac:dyDescent="0.2">
      <c r="A24" s="54" t="s">
        <v>83</v>
      </c>
      <c r="B24" s="56" t="s">
        <v>62</v>
      </c>
      <c r="C24" s="55">
        <v>28410.59</v>
      </c>
      <c r="D24" s="55" t="s">
        <v>76</v>
      </c>
      <c r="E24">
        <f t="shared" si="0"/>
        <v>104.99152261740805</v>
      </c>
      <c r="F24">
        <f t="shared" si="1"/>
        <v>105</v>
      </c>
      <c r="G24">
        <f t="shared" si="4"/>
        <v>-1.8342499999562278E-2</v>
      </c>
      <c r="I24">
        <f t="shared" si="5"/>
        <v>-1.8342499999562278E-2</v>
      </c>
      <c r="O24">
        <f t="shared" ca="1" si="2"/>
        <v>5.5840640480599155E-2</v>
      </c>
      <c r="Q24" s="2">
        <f t="shared" si="3"/>
        <v>13392.09</v>
      </c>
    </row>
    <row r="25" spans="1:30" x14ac:dyDescent="0.2">
      <c r="A25" s="54" t="s">
        <v>83</v>
      </c>
      <c r="B25" s="56" t="s">
        <v>62</v>
      </c>
      <c r="C25" s="55">
        <v>28845.42</v>
      </c>
      <c r="D25" s="55" t="s">
        <v>76</v>
      </c>
      <c r="E25">
        <f t="shared" si="0"/>
        <v>305.95759991514529</v>
      </c>
      <c r="F25">
        <f t="shared" si="1"/>
        <v>306</v>
      </c>
      <c r="G25">
        <f t="shared" si="4"/>
        <v>-9.1741000000183703E-2</v>
      </c>
      <c r="I25">
        <f t="shared" si="5"/>
        <v>-9.1741000000183703E-2</v>
      </c>
      <c r="O25">
        <f t="shared" ca="1" si="2"/>
        <v>5.4523815962409183E-2</v>
      </c>
      <c r="Q25" s="2">
        <f t="shared" si="3"/>
        <v>13826.919999999998</v>
      </c>
    </row>
    <row r="26" spans="1:30" x14ac:dyDescent="0.2">
      <c r="A26" s="54" t="s">
        <v>83</v>
      </c>
      <c r="B26" s="56" t="s">
        <v>62</v>
      </c>
      <c r="C26" s="55">
        <v>29163.59</v>
      </c>
      <c r="D26" s="55" t="s">
        <v>76</v>
      </c>
      <c r="E26">
        <f t="shared" si="0"/>
        <v>453.00673823085879</v>
      </c>
      <c r="F26">
        <f t="shared" si="1"/>
        <v>453</v>
      </c>
      <c r="G26">
        <f t="shared" si="4"/>
        <v>1.457950000258279E-2</v>
      </c>
      <c r="I26">
        <f t="shared" si="5"/>
        <v>1.457950000258279E-2</v>
      </c>
      <c r="O26">
        <f t="shared" ca="1" si="2"/>
        <v>5.3560765195374727E-2</v>
      </c>
      <c r="Q26" s="2">
        <f t="shared" si="3"/>
        <v>14145.09</v>
      </c>
    </row>
    <row r="27" spans="1:30" x14ac:dyDescent="0.2">
      <c r="A27" s="54" t="s">
        <v>83</v>
      </c>
      <c r="B27" s="56" t="s">
        <v>62</v>
      </c>
      <c r="C27" s="55">
        <v>29639.59</v>
      </c>
      <c r="D27" s="55" t="s">
        <v>76</v>
      </c>
      <c r="E27">
        <f t="shared" si="0"/>
        <v>673.00042034507203</v>
      </c>
      <c r="F27">
        <f t="shared" si="1"/>
        <v>673</v>
      </c>
      <c r="G27">
        <f t="shared" si="4"/>
        <v>9.0950000230805017E-4</v>
      </c>
      <c r="I27">
        <f t="shared" si="5"/>
        <v>9.0950000230805017E-4</v>
      </c>
      <c r="O27">
        <f t="shared" ca="1" si="2"/>
        <v>5.211946472770411E-2</v>
      </c>
      <c r="Q27" s="2">
        <f t="shared" si="3"/>
        <v>14621.09</v>
      </c>
    </row>
    <row r="28" spans="1:30" x14ac:dyDescent="0.2">
      <c r="A28" s="54" t="s">
        <v>83</v>
      </c>
      <c r="B28" s="56" t="s">
        <v>62</v>
      </c>
      <c r="C28" s="55">
        <v>29691.49</v>
      </c>
      <c r="D28" s="55" t="s">
        <v>76</v>
      </c>
      <c r="E28">
        <f t="shared" si="0"/>
        <v>696.98712644113914</v>
      </c>
      <c r="F28">
        <f t="shared" si="1"/>
        <v>697</v>
      </c>
      <c r="G28">
        <f t="shared" si="4"/>
        <v>-2.7854499996465165E-2</v>
      </c>
      <c r="I28">
        <f t="shared" si="5"/>
        <v>-2.7854499996465165E-2</v>
      </c>
      <c r="O28">
        <f t="shared" ca="1" si="2"/>
        <v>5.1962231949412775E-2</v>
      </c>
      <c r="Q28" s="2">
        <f t="shared" si="3"/>
        <v>14672.990000000002</v>
      </c>
    </row>
    <row r="29" spans="1:30" x14ac:dyDescent="0.2">
      <c r="A29" s="54" t="s">
        <v>83</v>
      </c>
      <c r="B29" s="56" t="s">
        <v>62</v>
      </c>
      <c r="C29" s="55">
        <v>30260.62</v>
      </c>
      <c r="D29" s="55" t="s">
        <v>76</v>
      </c>
      <c r="E29">
        <f t="shared" si="0"/>
        <v>960.02284976395765</v>
      </c>
      <c r="F29">
        <f t="shared" si="1"/>
        <v>960</v>
      </c>
      <c r="G29">
        <f t="shared" si="4"/>
        <v>4.9439999998867279E-2</v>
      </c>
      <c r="I29">
        <f t="shared" si="5"/>
        <v>4.9439999998867279E-2</v>
      </c>
      <c r="O29">
        <f t="shared" ca="1" si="2"/>
        <v>5.0239222753970171E-2</v>
      </c>
      <c r="Q29" s="2">
        <f t="shared" si="3"/>
        <v>15242.119999999999</v>
      </c>
    </row>
    <row r="30" spans="1:30" x14ac:dyDescent="0.2">
      <c r="A30" s="54" t="s">
        <v>83</v>
      </c>
      <c r="B30" s="56" t="s">
        <v>62</v>
      </c>
      <c r="C30" s="55">
        <v>30375.27</v>
      </c>
      <c r="D30" s="55" t="s">
        <v>76</v>
      </c>
      <c r="E30">
        <f t="shared" si="0"/>
        <v>1013.0108238278124</v>
      </c>
      <c r="F30">
        <f t="shared" si="1"/>
        <v>1013</v>
      </c>
      <c r="G30">
        <f t="shared" si="4"/>
        <v>2.3419500001182314E-2</v>
      </c>
      <c r="I30">
        <f t="shared" si="5"/>
        <v>2.3419500001182314E-2</v>
      </c>
      <c r="O30">
        <f t="shared" ca="1" si="2"/>
        <v>4.98920003685768E-2</v>
      </c>
      <c r="Q30" s="2">
        <f t="shared" si="3"/>
        <v>15356.77</v>
      </c>
    </row>
    <row r="31" spans="1:30" x14ac:dyDescent="0.2">
      <c r="A31" s="54" t="s">
        <v>83</v>
      </c>
      <c r="B31" s="56" t="s">
        <v>62</v>
      </c>
      <c r="C31" s="55">
        <v>31145.52</v>
      </c>
      <c r="D31" s="55" t="s">
        <v>76</v>
      </c>
      <c r="E31">
        <f t="shared" si="0"/>
        <v>1368.9984995598979</v>
      </c>
      <c r="F31">
        <f t="shared" si="1"/>
        <v>1369</v>
      </c>
      <c r="G31">
        <f t="shared" si="4"/>
        <v>-3.2464999967487529E-3</v>
      </c>
      <c r="I31">
        <f t="shared" si="5"/>
        <v>-3.2464999967487529E-3</v>
      </c>
      <c r="O31">
        <f t="shared" ca="1" si="2"/>
        <v>4.7559714157255253E-2</v>
      </c>
      <c r="Q31" s="2">
        <f t="shared" si="3"/>
        <v>16127.02</v>
      </c>
    </row>
    <row r="32" spans="1:30" x14ac:dyDescent="0.2">
      <c r="A32" t="s">
        <v>30</v>
      </c>
      <c r="C32" s="13">
        <v>42471.343999999997</v>
      </c>
      <c r="D32" s="13"/>
      <c r="E32">
        <f t="shared" si="0"/>
        <v>6603.4727111933562</v>
      </c>
      <c r="F32">
        <f t="shared" si="1"/>
        <v>6603.5</v>
      </c>
      <c r="I32" s="9">
        <v>-5.9044749999884516E-2</v>
      </c>
      <c r="O32">
        <f t="shared" ca="1" si="2"/>
        <v>1.3266590075337821E-2</v>
      </c>
      <c r="Q32" s="2">
        <f t="shared" si="3"/>
        <v>27452.843999999997</v>
      </c>
      <c r="AA32">
        <v>6</v>
      </c>
      <c r="AB32" t="s">
        <v>29</v>
      </c>
      <c r="AD32" t="s">
        <v>31</v>
      </c>
    </row>
    <row r="33" spans="1:30" x14ac:dyDescent="0.2">
      <c r="A33" t="s">
        <v>33</v>
      </c>
      <c r="C33" s="13">
        <v>42842.468999999997</v>
      </c>
      <c r="D33" s="13"/>
      <c r="E33">
        <f t="shared" si="0"/>
        <v>6774.9961466442746</v>
      </c>
      <c r="F33">
        <f t="shared" si="1"/>
        <v>6775</v>
      </c>
      <c r="G33">
        <f t="shared" ref="G33:G67" si="6">+C33-(C$7+F33*C$8)</f>
        <v>-8.3375000031082891E-3</v>
      </c>
      <c r="I33">
        <f t="shared" ref="I33:I51" si="7">+G33</f>
        <v>-8.3375000031082891E-3</v>
      </c>
      <c r="O33">
        <f t="shared" ca="1" si="2"/>
        <v>1.2143030847130955E-2</v>
      </c>
      <c r="Q33" s="2">
        <f t="shared" si="3"/>
        <v>27823.968999999997</v>
      </c>
      <c r="AA33">
        <v>9</v>
      </c>
      <c r="AB33" t="s">
        <v>32</v>
      </c>
      <c r="AD33" t="s">
        <v>31</v>
      </c>
    </row>
    <row r="34" spans="1:30" x14ac:dyDescent="0.2">
      <c r="A34" t="s">
        <v>35</v>
      </c>
      <c r="C34" s="13">
        <v>43210.311000000002</v>
      </c>
      <c r="D34" s="13"/>
      <c r="E34">
        <f t="shared" si="0"/>
        <v>6945.0022727288488</v>
      </c>
      <c r="F34">
        <f t="shared" si="1"/>
        <v>6945</v>
      </c>
      <c r="G34">
        <f t="shared" si="6"/>
        <v>4.9175000021932647E-3</v>
      </c>
      <c r="I34">
        <f t="shared" si="7"/>
        <v>4.9175000021932647E-3</v>
      </c>
      <c r="O34">
        <f t="shared" ca="1" si="2"/>
        <v>1.10292986675673E-2</v>
      </c>
      <c r="Q34" s="2">
        <f t="shared" si="3"/>
        <v>28191.811000000002</v>
      </c>
      <c r="AA34">
        <v>10</v>
      </c>
      <c r="AB34" t="s">
        <v>34</v>
      </c>
      <c r="AD34" t="s">
        <v>31</v>
      </c>
    </row>
    <row r="35" spans="1:30" x14ac:dyDescent="0.2">
      <c r="A35" t="s">
        <v>36</v>
      </c>
      <c r="C35" s="13">
        <v>44203.421999999999</v>
      </c>
      <c r="D35" s="13"/>
      <c r="E35">
        <f t="shared" si="0"/>
        <v>7403.9899736492853</v>
      </c>
      <c r="F35">
        <f t="shared" si="1"/>
        <v>7404</v>
      </c>
      <c r="G35">
        <f t="shared" si="6"/>
        <v>-2.1694000002753455E-2</v>
      </c>
      <c r="I35">
        <f t="shared" si="7"/>
        <v>-2.1694000002753455E-2</v>
      </c>
      <c r="O35">
        <f t="shared" ca="1" si="2"/>
        <v>8.0222217827454201E-3</v>
      </c>
      <c r="Q35" s="2">
        <f t="shared" si="3"/>
        <v>29184.921999999999</v>
      </c>
      <c r="AA35">
        <v>4</v>
      </c>
      <c r="AB35" t="s">
        <v>34</v>
      </c>
      <c r="AD35" t="s">
        <v>31</v>
      </c>
    </row>
    <row r="36" spans="1:30" x14ac:dyDescent="0.2">
      <c r="A36" t="s">
        <v>37</v>
      </c>
      <c r="C36" s="13">
        <v>44294.32</v>
      </c>
      <c r="D36" s="13"/>
      <c r="E36">
        <f t="shared" si="0"/>
        <v>7446.0004478442816</v>
      </c>
      <c r="F36">
        <f t="shared" si="1"/>
        <v>7446</v>
      </c>
      <c r="G36">
        <f t="shared" si="6"/>
        <v>9.690000006230548E-4</v>
      </c>
      <c r="I36">
        <f t="shared" si="7"/>
        <v>9.690000006230548E-4</v>
      </c>
      <c r="O36">
        <f t="shared" ca="1" si="2"/>
        <v>7.7470644207355763E-3</v>
      </c>
      <c r="Q36" s="2">
        <f t="shared" si="3"/>
        <v>29275.82</v>
      </c>
      <c r="AA36">
        <v>6</v>
      </c>
      <c r="AB36" t="s">
        <v>34</v>
      </c>
      <c r="AD36" t="s">
        <v>31</v>
      </c>
    </row>
    <row r="37" spans="1:30" x14ac:dyDescent="0.2">
      <c r="A37" s="54" t="s">
        <v>134</v>
      </c>
      <c r="B37" s="56" t="s">
        <v>62</v>
      </c>
      <c r="C37" s="55">
        <v>44294.328000000001</v>
      </c>
      <c r="D37" s="55" t="s">
        <v>76</v>
      </c>
      <c r="E37">
        <f t="shared" si="0"/>
        <v>7446.0041452170908</v>
      </c>
      <c r="F37">
        <f t="shared" si="1"/>
        <v>7446</v>
      </c>
      <c r="G37">
        <f t="shared" si="6"/>
        <v>8.9690000022528693E-3</v>
      </c>
      <c r="I37">
        <f t="shared" si="7"/>
        <v>8.9690000022528693E-3</v>
      </c>
      <c r="O37">
        <f t="shared" ca="1" si="2"/>
        <v>7.7470644207355763E-3</v>
      </c>
      <c r="Q37" s="2">
        <f t="shared" si="3"/>
        <v>29275.828000000001</v>
      </c>
    </row>
    <row r="38" spans="1:30" x14ac:dyDescent="0.2">
      <c r="A38" t="s">
        <v>38</v>
      </c>
      <c r="C38" s="13">
        <v>44586.425999999999</v>
      </c>
      <c r="D38" s="13"/>
      <c r="E38">
        <f t="shared" si="0"/>
        <v>7581.0035455494371</v>
      </c>
      <c r="F38">
        <f t="shared" si="1"/>
        <v>7581</v>
      </c>
      <c r="G38">
        <f t="shared" si="6"/>
        <v>7.6714999959222041E-3</v>
      </c>
      <c r="I38">
        <f t="shared" si="7"/>
        <v>7.6714999959222041E-3</v>
      </c>
      <c r="O38">
        <f t="shared" ca="1" si="2"/>
        <v>6.8626300428467901E-3</v>
      </c>
      <c r="Q38" s="2">
        <f t="shared" si="3"/>
        <v>29567.925999999999</v>
      </c>
      <c r="AA38">
        <v>6</v>
      </c>
      <c r="AB38" t="s">
        <v>34</v>
      </c>
      <c r="AD38" t="s">
        <v>31</v>
      </c>
    </row>
    <row r="39" spans="1:30" x14ac:dyDescent="0.2">
      <c r="A39" t="s">
        <v>39</v>
      </c>
      <c r="C39" s="13">
        <v>44906.650999999998</v>
      </c>
      <c r="D39" s="13"/>
      <c r="E39">
        <f t="shared" si="0"/>
        <v>7729.0024465053693</v>
      </c>
      <c r="F39">
        <f t="shared" si="1"/>
        <v>7729</v>
      </c>
      <c r="G39">
        <f t="shared" si="6"/>
        <v>5.2934999985154718E-3</v>
      </c>
      <c r="I39">
        <f t="shared" si="7"/>
        <v>5.2934999985154718E-3</v>
      </c>
      <c r="O39">
        <f t="shared" ca="1" si="2"/>
        <v>5.893027910050197E-3</v>
      </c>
      <c r="Q39" s="2">
        <f t="shared" si="3"/>
        <v>29888.150999999998</v>
      </c>
      <c r="AA39">
        <v>10</v>
      </c>
      <c r="AB39" t="s">
        <v>34</v>
      </c>
      <c r="AD39" t="s">
        <v>31</v>
      </c>
    </row>
    <row r="40" spans="1:30" x14ac:dyDescent="0.2">
      <c r="A40" t="s">
        <v>40</v>
      </c>
      <c r="C40" s="13">
        <v>45010.502</v>
      </c>
      <c r="D40" s="13"/>
      <c r="E40">
        <f t="shared" si="0"/>
        <v>7776.9994294491589</v>
      </c>
      <c r="F40">
        <f t="shared" si="1"/>
        <v>7777</v>
      </c>
      <c r="G40">
        <f t="shared" si="6"/>
        <v>-1.2344999995548278E-3</v>
      </c>
      <c r="I40">
        <f t="shared" si="7"/>
        <v>-1.2344999995548278E-3</v>
      </c>
      <c r="O40">
        <f t="shared" ca="1" si="2"/>
        <v>5.5785623534675144E-3</v>
      </c>
      <c r="Q40" s="2">
        <f t="shared" si="3"/>
        <v>29992.002</v>
      </c>
      <c r="AA40">
        <v>6</v>
      </c>
      <c r="AB40" t="s">
        <v>34</v>
      </c>
      <c r="AD40" t="s">
        <v>31</v>
      </c>
    </row>
    <row r="41" spans="1:30" x14ac:dyDescent="0.2">
      <c r="A41" t="s">
        <v>41</v>
      </c>
      <c r="C41" s="13">
        <v>45352.372000000003</v>
      </c>
      <c r="D41" s="13"/>
      <c r="E41">
        <f t="shared" si="0"/>
        <v>7935.0020347104755</v>
      </c>
      <c r="F41">
        <f t="shared" si="1"/>
        <v>7935</v>
      </c>
      <c r="G41">
        <f t="shared" si="6"/>
        <v>4.4025000024703331E-3</v>
      </c>
      <c r="I41">
        <f t="shared" si="7"/>
        <v>4.4025000024703331E-3</v>
      </c>
      <c r="O41">
        <f t="shared" ca="1" si="2"/>
        <v>4.5434465630495302E-3</v>
      </c>
      <c r="Q41" s="2">
        <f t="shared" si="3"/>
        <v>30333.872000000003</v>
      </c>
      <c r="AA41">
        <v>7</v>
      </c>
      <c r="AB41" t="s">
        <v>34</v>
      </c>
      <c r="AD41" t="s">
        <v>31</v>
      </c>
    </row>
    <row r="42" spans="1:30" x14ac:dyDescent="0.2">
      <c r="A42" t="s">
        <v>41</v>
      </c>
      <c r="C42" s="13">
        <v>45352.373</v>
      </c>
      <c r="D42" s="13"/>
      <c r="E42">
        <f t="shared" si="0"/>
        <v>7935.0024968820744</v>
      </c>
      <c r="F42">
        <f t="shared" si="1"/>
        <v>7935</v>
      </c>
      <c r="G42">
        <f t="shared" si="6"/>
        <v>5.4024999990360811E-3</v>
      </c>
      <c r="I42">
        <f t="shared" si="7"/>
        <v>5.4024999990360811E-3</v>
      </c>
      <c r="O42">
        <f t="shared" ca="1" si="2"/>
        <v>4.5434465630495302E-3</v>
      </c>
      <c r="Q42" s="2">
        <f t="shared" si="3"/>
        <v>30333.873</v>
      </c>
      <c r="AA42">
        <v>9</v>
      </c>
      <c r="AB42" t="s">
        <v>32</v>
      </c>
      <c r="AD42" t="s">
        <v>31</v>
      </c>
    </row>
    <row r="43" spans="1:30" x14ac:dyDescent="0.2">
      <c r="A43" s="54" t="s">
        <v>156</v>
      </c>
      <c r="B43" s="56" t="s">
        <v>62</v>
      </c>
      <c r="C43" s="55">
        <v>46769.591999999997</v>
      </c>
      <c r="D43" s="55" t="s">
        <v>76</v>
      </c>
      <c r="E43">
        <f t="shared" si="0"/>
        <v>8590.0008711934661</v>
      </c>
      <c r="F43">
        <f t="shared" si="1"/>
        <v>8590</v>
      </c>
      <c r="G43">
        <f t="shared" si="6"/>
        <v>1.8849999978556298E-3</v>
      </c>
      <c r="I43">
        <f t="shared" si="7"/>
        <v>1.8849999978556298E-3</v>
      </c>
      <c r="O43">
        <f t="shared" ca="1" si="2"/>
        <v>2.5230198884838156E-4</v>
      </c>
      <c r="Q43" s="2">
        <f t="shared" si="3"/>
        <v>31751.091999999997</v>
      </c>
    </row>
    <row r="44" spans="1:30" x14ac:dyDescent="0.2">
      <c r="A44" t="s">
        <v>42</v>
      </c>
      <c r="C44" s="13">
        <v>46821.534</v>
      </c>
      <c r="D44" s="13"/>
      <c r="E44">
        <f t="shared" si="0"/>
        <v>8614.0069884967797</v>
      </c>
      <c r="F44">
        <f t="shared" si="1"/>
        <v>8614</v>
      </c>
      <c r="G44">
        <f t="shared" si="6"/>
        <v>1.5121000004000962E-2</v>
      </c>
      <c r="I44">
        <f t="shared" si="7"/>
        <v>1.5121000004000962E-2</v>
      </c>
      <c r="O44">
        <f t="shared" ca="1" si="2"/>
        <v>9.5069210557040262E-5</v>
      </c>
      <c r="Q44" s="2">
        <f t="shared" si="3"/>
        <v>31803.034</v>
      </c>
      <c r="AA44">
        <v>6</v>
      </c>
      <c r="AB44" t="s">
        <v>34</v>
      </c>
      <c r="AD44" t="s">
        <v>31</v>
      </c>
    </row>
    <row r="45" spans="1:30" x14ac:dyDescent="0.2">
      <c r="A45" s="54" t="s">
        <v>164</v>
      </c>
      <c r="B45" s="56" t="s">
        <v>62</v>
      </c>
      <c r="C45" s="55">
        <v>47470.633000000002</v>
      </c>
      <c r="D45" s="55" t="s">
        <v>76</v>
      </c>
      <c r="E45">
        <f t="shared" si="0"/>
        <v>8914.0021125863896</v>
      </c>
      <c r="F45">
        <f t="shared" si="1"/>
        <v>8914</v>
      </c>
      <c r="G45">
        <f t="shared" si="6"/>
        <v>4.5709999976679683E-3</v>
      </c>
      <c r="I45">
        <f t="shared" si="7"/>
        <v>4.5709999976679683E-3</v>
      </c>
      <c r="O45">
        <f t="shared" ca="1" si="2"/>
        <v>-1.8703405180847121E-3</v>
      </c>
      <c r="Q45" s="2">
        <f t="shared" si="3"/>
        <v>32452.133000000002</v>
      </c>
    </row>
    <row r="46" spans="1:30" x14ac:dyDescent="0.2">
      <c r="A46" s="54" t="s">
        <v>164</v>
      </c>
      <c r="B46" s="56" t="s">
        <v>62</v>
      </c>
      <c r="C46" s="55">
        <v>47470.633999999998</v>
      </c>
      <c r="D46" s="55" t="s">
        <v>76</v>
      </c>
      <c r="E46">
        <f t="shared" si="0"/>
        <v>8914.0025747579894</v>
      </c>
      <c r="F46">
        <f t="shared" si="1"/>
        <v>8914</v>
      </c>
      <c r="G46">
        <f t="shared" si="6"/>
        <v>5.5709999942337163E-3</v>
      </c>
      <c r="I46">
        <f t="shared" si="7"/>
        <v>5.5709999942337163E-3</v>
      </c>
      <c r="O46">
        <f t="shared" ca="1" si="2"/>
        <v>-1.8703405180847121E-3</v>
      </c>
      <c r="Q46" s="2">
        <f t="shared" si="3"/>
        <v>32452.133999999998</v>
      </c>
    </row>
    <row r="47" spans="1:30" x14ac:dyDescent="0.2">
      <c r="A47" t="s">
        <v>43</v>
      </c>
      <c r="C47" s="13">
        <v>47535.54</v>
      </c>
      <c r="D47" s="13"/>
      <c r="E47">
        <f t="shared" si="0"/>
        <v>8944.0002846977059</v>
      </c>
      <c r="F47">
        <f t="shared" si="1"/>
        <v>8944</v>
      </c>
      <c r="G47">
        <f t="shared" si="6"/>
        <v>6.1599999753525481E-4</v>
      </c>
      <c r="I47">
        <f t="shared" si="7"/>
        <v>6.1599999753525481E-4</v>
      </c>
      <c r="O47">
        <f t="shared" ca="1" si="2"/>
        <v>-2.0668814909488853E-3</v>
      </c>
      <c r="Q47" s="2">
        <f t="shared" si="3"/>
        <v>32517.040000000001</v>
      </c>
      <c r="AA47">
        <v>5</v>
      </c>
      <c r="AB47" t="s">
        <v>34</v>
      </c>
      <c r="AD47" t="s">
        <v>31</v>
      </c>
    </row>
    <row r="48" spans="1:30" x14ac:dyDescent="0.2">
      <c r="A48" s="54" t="s">
        <v>176</v>
      </c>
      <c r="B48" s="56" t="s">
        <v>62</v>
      </c>
      <c r="C48" s="55">
        <v>47825.474000000002</v>
      </c>
      <c r="D48" s="55" t="s">
        <v>76</v>
      </c>
      <c r="E48">
        <f t="shared" si="0"/>
        <v>9077.9995456853176</v>
      </c>
      <c r="F48">
        <f t="shared" si="1"/>
        <v>9078</v>
      </c>
      <c r="G48">
        <f t="shared" si="6"/>
        <v>-9.8299999808659777E-4</v>
      </c>
      <c r="I48">
        <f t="shared" si="7"/>
        <v>-9.8299999808659777E-4</v>
      </c>
      <c r="O48">
        <f t="shared" ca="1" si="2"/>
        <v>-2.9447645030755282E-3</v>
      </c>
      <c r="Q48" s="2">
        <f t="shared" si="3"/>
        <v>32806.974000000002</v>
      </c>
    </row>
    <row r="49" spans="1:30" x14ac:dyDescent="0.2">
      <c r="A49" t="s">
        <v>44</v>
      </c>
      <c r="C49" s="13">
        <v>47840.633999999998</v>
      </c>
      <c r="D49" s="13"/>
      <c r="E49">
        <f t="shared" si="0"/>
        <v>9085.0060671576921</v>
      </c>
      <c r="F49">
        <f t="shared" si="1"/>
        <v>9085</v>
      </c>
      <c r="G49">
        <f t="shared" si="6"/>
        <v>1.3127499994880054E-2</v>
      </c>
      <c r="I49">
        <f t="shared" si="7"/>
        <v>1.3127499994880054E-2</v>
      </c>
      <c r="O49">
        <f t="shared" ca="1" si="2"/>
        <v>-2.9906240634105033E-3</v>
      </c>
      <c r="Q49" s="2">
        <f t="shared" si="3"/>
        <v>32822.133999999998</v>
      </c>
      <c r="AA49">
        <v>4</v>
      </c>
      <c r="AB49" t="s">
        <v>34</v>
      </c>
      <c r="AD49" t="s">
        <v>31</v>
      </c>
    </row>
    <row r="50" spans="1:30" x14ac:dyDescent="0.2">
      <c r="A50" s="54" t="s">
        <v>176</v>
      </c>
      <c r="B50" s="56" t="s">
        <v>62</v>
      </c>
      <c r="C50" s="55">
        <v>47970.442999999999</v>
      </c>
      <c r="D50" s="55" t="s">
        <v>76</v>
      </c>
      <c r="E50">
        <f t="shared" si="0"/>
        <v>9145.0001005223221</v>
      </c>
      <c r="F50">
        <f t="shared" si="1"/>
        <v>9145</v>
      </c>
      <c r="G50">
        <f t="shared" si="6"/>
        <v>2.1749999723397195E-4</v>
      </c>
      <c r="I50">
        <f t="shared" si="7"/>
        <v>2.1749999723397195E-4</v>
      </c>
      <c r="O50">
        <f t="shared" ca="1" si="2"/>
        <v>-3.3837060091388566E-3</v>
      </c>
      <c r="Q50" s="2">
        <f t="shared" si="3"/>
        <v>32951.942999999999</v>
      </c>
    </row>
    <row r="51" spans="1:30" x14ac:dyDescent="0.2">
      <c r="A51" s="54" t="s">
        <v>187</v>
      </c>
      <c r="B51" s="56" t="s">
        <v>62</v>
      </c>
      <c r="C51" s="55">
        <v>48619.55</v>
      </c>
      <c r="D51" s="55" t="s">
        <v>76</v>
      </c>
      <c r="E51">
        <f t="shared" si="0"/>
        <v>9444.9989219847412</v>
      </c>
      <c r="F51">
        <f t="shared" si="1"/>
        <v>9445</v>
      </c>
      <c r="G51">
        <f t="shared" si="6"/>
        <v>-2.3324999929172918E-3</v>
      </c>
      <c r="I51">
        <f t="shared" si="7"/>
        <v>-2.3324999929172918E-3</v>
      </c>
      <c r="O51">
        <f t="shared" ca="1" si="2"/>
        <v>-5.349115737780602E-3</v>
      </c>
      <c r="Q51" s="2">
        <f t="shared" si="3"/>
        <v>33601.050000000003</v>
      </c>
    </row>
    <row r="52" spans="1:30" x14ac:dyDescent="0.2">
      <c r="A52" s="31" t="s">
        <v>28</v>
      </c>
      <c r="B52" s="31"/>
      <c r="C52" s="32">
        <v>49002.52</v>
      </c>
      <c r="D52" s="32"/>
      <c r="E52" s="31">
        <f t="shared" si="0"/>
        <v>9621.9967800504546</v>
      </c>
      <c r="F52">
        <f t="shared" si="1"/>
        <v>9622</v>
      </c>
      <c r="G52">
        <f t="shared" si="6"/>
        <v>-6.9670000011683442E-3</v>
      </c>
      <c r="K52">
        <f>+G52</f>
        <v>-6.9670000011683442E-3</v>
      </c>
      <c r="O52">
        <f t="shared" ca="1" si="2"/>
        <v>-6.5087074776792389E-3</v>
      </c>
      <c r="Q52" s="2">
        <f t="shared" si="3"/>
        <v>33984.019999999997</v>
      </c>
    </row>
    <row r="53" spans="1:30" x14ac:dyDescent="0.2">
      <c r="A53" s="54" t="s">
        <v>197</v>
      </c>
      <c r="B53" s="56" t="s">
        <v>62</v>
      </c>
      <c r="C53" s="55">
        <v>50482.4931</v>
      </c>
      <c r="D53" s="55" t="s">
        <v>76</v>
      </c>
      <c r="E53">
        <f t="shared" si="0"/>
        <v>10305.998317233199</v>
      </c>
      <c r="F53">
        <f t="shared" si="1"/>
        <v>10306</v>
      </c>
      <c r="G53">
        <f t="shared" si="6"/>
        <v>-3.6409999956958927E-3</v>
      </c>
      <c r="J53">
        <f>+G53</f>
        <v>-3.6409999956958927E-3</v>
      </c>
      <c r="O53">
        <f t="shared" ca="1" si="2"/>
        <v>-1.0989841658982417E-2</v>
      </c>
      <c r="Q53" s="2">
        <f t="shared" si="3"/>
        <v>35463.9931</v>
      </c>
    </row>
    <row r="54" spans="1:30" x14ac:dyDescent="0.2">
      <c r="A54" s="54" t="s">
        <v>201</v>
      </c>
      <c r="B54" s="56" t="s">
        <v>62</v>
      </c>
      <c r="C54" s="55">
        <v>51103.468999999997</v>
      </c>
      <c r="D54" s="55" t="s">
        <v>76</v>
      </c>
      <c r="E54">
        <f t="shared" si="0"/>
        <v>10592.995743168467</v>
      </c>
      <c r="F54">
        <f t="shared" si="1"/>
        <v>10593</v>
      </c>
      <c r="G54">
        <f t="shared" si="6"/>
        <v>-9.2105000076116994E-3</v>
      </c>
      <c r="I54">
        <f>+G54</f>
        <v>-9.2105000076116994E-3</v>
      </c>
      <c r="O54">
        <f t="shared" ca="1" si="2"/>
        <v>-1.2870083632716363E-2</v>
      </c>
      <c r="Q54" s="2">
        <f t="shared" si="3"/>
        <v>36084.968999999997</v>
      </c>
    </row>
    <row r="55" spans="1:30" x14ac:dyDescent="0.2">
      <c r="A55" s="54" t="s">
        <v>204</v>
      </c>
      <c r="B55" s="56" t="s">
        <v>62</v>
      </c>
      <c r="C55" s="55">
        <v>51603.292999999998</v>
      </c>
      <c r="D55" s="55" t="s">
        <v>76</v>
      </c>
      <c r="E55">
        <f t="shared" si="0"/>
        <v>10824.000201506817</v>
      </c>
      <c r="F55">
        <f t="shared" si="1"/>
        <v>10824</v>
      </c>
      <c r="G55">
        <f t="shared" si="6"/>
        <v>4.3599999480647966E-4</v>
      </c>
      <c r="I55">
        <f>+G55</f>
        <v>4.3599999480647966E-4</v>
      </c>
      <c r="O55">
        <f t="shared" ca="1" si="2"/>
        <v>-1.4383449123770507E-2</v>
      </c>
      <c r="Q55" s="2">
        <f t="shared" si="3"/>
        <v>36584.792999999998</v>
      </c>
    </row>
    <row r="56" spans="1:30" x14ac:dyDescent="0.2">
      <c r="A56" s="54" t="s">
        <v>208</v>
      </c>
      <c r="B56" s="56" t="s">
        <v>62</v>
      </c>
      <c r="C56" s="55">
        <v>51910.525000000001</v>
      </c>
      <c r="D56" s="55" t="s">
        <v>76</v>
      </c>
      <c r="E56">
        <f t="shared" si="0"/>
        <v>10965.994106849916</v>
      </c>
      <c r="F56">
        <f t="shared" si="1"/>
        <v>10966</v>
      </c>
      <c r="G56">
        <f t="shared" si="6"/>
        <v>-1.27509999947506E-2</v>
      </c>
      <c r="I56">
        <f>+G56</f>
        <v>-1.27509999947506E-2</v>
      </c>
      <c r="O56">
        <f t="shared" ca="1" si="2"/>
        <v>-1.5313743061994269E-2</v>
      </c>
      <c r="Q56" s="2">
        <f t="shared" si="3"/>
        <v>36892.025000000001</v>
      </c>
    </row>
    <row r="57" spans="1:30" x14ac:dyDescent="0.2">
      <c r="A57" s="54" t="s">
        <v>212</v>
      </c>
      <c r="B57" s="56" t="s">
        <v>62</v>
      </c>
      <c r="C57" s="55">
        <v>52202.637000000002</v>
      </c>
      <c r="D57" s="55" t="s">
        <v>76</v>
      </c>
      <c r="E57">
        <f t="shared" si="0"/>
        <v>11100.999977584679</v>
      </c>
      <c r="F57">
        <f t="shared" si="1"/>
        <v>11101</v>
      </c>
      <c r="G57">
        <f t="shared" si="6"/>
        <v>-4.8499998229090124E-5</v>
      </c>
      <c r="I57">
        <f>+G57</f>
        <v>-4.8499998229090124E-5</v>
      </c>
      <c r="O57">
        <f t="shared" ca="1" si="2"/>
        <v>-1.6198177439883048E-2</v>
      </c>
      <c r="Q57" s="2">
        <f t="shared" si="3"/>
        <v>37184.137000000002</v>
      </c>
    </row>
    <row r="58" spans="1:30" x14ac:dyDescent="0.2">
      <c r="A58" s="35" t="s">
        <v>63</v>
      </c>
      <c r="B58" s="36" t="s">
        <v>62</v>
      </c>
      <c r="C58" s="35">
        <v>53377.514000000003</v>
      </c>
      <c r="D58" s="35">
        <v>5.0000000000000001E-3</v>
      </c>
      <c r="E58" s="31">
        <f t="shared" si="0"/>
        <v>11643.994761747075</v>
      </c>
      <c r="F58">
        <f t="shared" si="1"/>
        <v>11644</v>
      </c>
      <c r="G58">
        <f t="shared" si="6"/>
        <v>-1.1334000002534594E-2</v>
      </c>
      <c r="K58">
        <f>+G58</f>
        <v>-1.1334000002534594E-2</v>
      </c>
      <c r="O58">
        <f t="shared" ca="1" si="2"/>
        <v>-1.9755569048724615E-2</v>
      </c>
      <c r="Q58" s="2">
        <f t="shared" si="3"/>
        <v>38359.014000000003</v>
      </c>
    </row>
    <row r="59" spans="1:30" x14ac:dyDescent="0.2">
      <c r="A59" s="33" t="s">
        <v>54</v>
      </c>
      <c r="B59" s="34" t="s">
        <v>55</v>
      </c>
      <c r="C59" s="32">
        <v>54092.614300000001</v>
      </c>
      <c r="D59" s="32">
        <v>3.3E-3</v>
      </c>
      <c r="E59" s="31">
        <f t="shared" si="0"/>
        <v>11974.493812331062</v>
      </c>
      <c r="F59">
        <f t="shared" si="1"/>
        <v>11974.5</v>
      </c>
      <c r="G59">
        <f t="shared" si="6"/>
        <v>-1.3388249994022772E-2</v>
      </c>
      <c r="J59">
        <f>+G59</f>
        <v>-1.3388249994022772E-2</v>
      </c>
      <c r="O59">
        <f t="shared" ca="1" si="2"/>
        <v>-2.1920795433111616E-2</v>
      </c>
      <c r="Q59" s="2">
        <f t="shared" si="3"/>
        <v>39074.114300000001</v>
      </c>
    </row>
    <row r="60" spans="1:30" x14ac:dyDescent="0.2">
      <c r="A60" s="32" t="s">
        <v>56</v>
      </c>
      <c r="B60" s="34" t="s">
        <v>55</v>
      </c>
      <c r="C60" s="32">
        <v>54116.407399999996</v>
      </c>
      <c r="D60" s="32">
        <v>3.0999999999999999E-3</v>
      </c>
      <c r="E60" s="31">
        <f t="shared" si="0"/>
        <v>11985.490307452723</v>
      </c>
      <c r="F60">
        <f t="shared" si="1"/>
        <v>11985.5</v>
      </c>
      <c r="G60">
        <f t="shared" si="6"/>
        <v>-2.0971750003809575E-2</v>
      </c>
      <c r="J60">
        <f>+G60</f>
        <v>-2.0971750003809575E-2</v>
      </c>
      <c r="O60">
        <f t="shared" ca="1" si="2"/>
        <v>-2.1992860456495143E-2</v>
      </c>
      <c r="Q60" s="2">
        <f t="shared" si="3"/>
        <v>39097.907399999996</v>
      </c>
    </row>
    <row r="61" spans="1:30" x14ac:dyDescent="0.2">
      <c r="A61" s="35" t="s">
        <v>60</v>
      </c>
      <c r="B61" s="36" t="s">
        <v>55</v>
      </c>
      <c r="C61" s="35">
        <v>54830.432200000003</v>
      </c>
      <c r="D61" s="35">
        <v>3.2000000000000002E-3</v>
      </c>
      <c r="E61" s="31">
        <f t="shared" si="0"/>
        <v>12315.492292479752</v>
      </c>
      <c r="F61">
        <f t="shared" si="1"/>
        <v>12315.5</v>
      </c>
      <c r="G61">
        <f t="shared" si="6"/>
        <v>-1.6676749997714069E-2</v>
      </c>
      <c r="J61">
        <f>+G61</f>
        <v>-1.6676749997714069E-2</v>
      </c>
      <c r="O61">
        <f t="shared" ca="1" si="2"/>
        <v>-2.4154811158001062E-2</v>
      </c>
      <c r="Q61" s="2">
        <f t="shared" si="3"/>
        <v>39811.932200000003</v>
      </c>
    </row>
    <row r="62" spans="1:30" x14ac:dyDescent="0.2">
      <c r="A62" s="33" t="s">
        <v>64</v>
      </c>
      <c r="B62" s="34" t="s">
        <v>55</v>
      </c>
      <c r="C62" s="32">
        <v>55622.330950000003</v>
      </c>
      <c r="D62" s="32">
        <v>8.9999999999999998E-4</v>
      </c>
      <c r="E62" s="31">
        <f t="shared" si="0"/>
        <v>12681.485405660726</v>
      </c>
      <c r="F62">
        <f t="shared" si="1"/>
        <v>12681.5</v>
      </c>
      <c r="G62">
        <f t="shared" si="6"/>
        <v>-3.1577749992720783E-2</v>
      </c>
      <c r="K62">
        <f>+G62</f>
        <v>-3.1577749992720783E-2</v>
      </c>
      <c r="O62">
        <f t="shared" ca="1" si="2"/>
        <v>-2.6552611026943999E-2</v>
      </c>
      <c r="Q62" s="2">
        <f t="shared" si="3"/>
        <v>40603.830950000003</v>
      </c>
    </row>
    <row r="63" spans="1:30" x14ac:dyDescent="0.2">
      <c r="A63" s="33" t="s">
        <v>64</v>
      </c>
      <c r="B63" s="34" t="s">
        <v>62</v>
      </c>
      <c r="C63" s="32">
        <v>55649.375650000002</v>
      </c>
      <c r="D63" s="32">
        <v>2.0000000000000001E-4</v>
      </c>
      <c r="E63" s="31">
        <f t="shared" si="0"/>
        <v>12693.984697960461</v>
      </c>
      <c r="F63">
        <f t="shared" si="1"/>
        <v>12694</v>
      </c>
      <c r="G63">
        <f t="shared" si="6"/>
        <v>-3.3108999996329658E-2</v>
      </c>
      <c r="K63">
        <f>+G63</f>
        <v>-3.3108999996329658E-2</v>
      </c>
      <c r="O63">
        <f t="shared" ca="1" si="2"/>
        <v>-2.6634503098970731E-2</v>
      </c>
      <c r="Q63" s="2">
        <f t="shared" si="3"/>
        <v>40630.875650000002</v>
      </c>
    </row>
    <row r="64" spans="1:30" x14ac:dyDescent="0.2">
      <c r="A64" s="35" t="s">
        <v>61</v>
      </c>
      <c r="B64" s="36" t="s">
        <v>62</v>
      </c>
      <c r="C64" s="35">
        <v>55893.871200000001</v>
      </c>
      <c r="D64" s="35">
        <v>1E-4</v>
      </c>
      <c r="E64" s="31">
        <f t="shared" si="0"/>
        <v>12806.983597760964</v>
      </c>
      <c r="F64">
        <f t="shared" si="1"/>
        <v>12807</v>
      </c>
      <c r="G64">
        <f t="shared" si="6"/>
        <v>-3.5489499998220708E-2</v>
      </c>
      <c r="K64">
        <f>+G64</f>
        <v>-3.5489499998220708E-2</v>
      </c>
      <c r="O64">
        <f t="shared" ca="1" si="2"/>
        <v>-2.7374807430092456E-2</v>
      </c>
      <c r="Q64" s="2">
        <f t="shared" si="3"/>
        <v>40875.371200000001</v>
      </c>
    </row>
    <row r="65" spans="1:17" x14ac:dyDescent="0.2">
      <c r="A65" s="33" t="s">
        <v>64</v>
      </c>
      <c r="B65" s="34" t="s">
        <v>62</v>
      </c>
      <c r="C65" s="32">
        <v>56006.3819</v>
      </c>
      <c r="D65" s="32">
        <v>2.0000000000000001E-4</v>
      </c>
      <c r="E65" s="31">
        <f t="shared" si="0"/>
        <v>12858.982848118627</v>
      </c>
      <c r="F65">
        <f t="shared" si="1"/>
        <v>12859</v>
      </c>
      <c r="G65">
        <f t="shared" si="6"/>
        <v>-3.7111500001628883E-2</v>
      </c>
      <c r="K65">
        <f>+G65</f>
        <v>-3.7111500001628883E-2</v>
      </c>
      <c r="O65">
        <f t="shared" ca="1" si="2"/>
        <v>-2.7715478449723698E-2</v>
      </c>
      <c r="Q65" s="2">
        <f t="shared" si="3"/>
        <v>40987.8819</v>
      </c>
    </row>
    <row r="66" spans="1:17" x14ac:dyDescent="0.2">
      <c r="A66" s="33" t="s">
        <v>64</v>
      </c>
      <c r="B66" s="34" t="s">
        <v>62</v>
      </c>
      <c r="C66" s="32">
        <v>56246.552680000001</v>
      </c>
      <c r="D66" s="32">
        <v>2.0000000000000001E-4</v>
      </c>
      <c r="E66" s="31">
        <f t="shared" si="0"/>
        <v>12969.982962043927</v>
      </c>
      <c r="F66">
        <f t="shared" si="1"/>
        <v>12970</v>
      </c>
      <c r="G66">
        <f t="shared" si="6"/>
        <v>-3.6865000001853332E-2</v>
      </c>
      <c r="K66">
        <f>+G66</f>
        <v>-3.6865000001853332E-2</v>
      </c>
      <c r="O66">
        <f t="shared" ca="1" si="2"/>
        <v>-2.8442680049321149E-2</v>
      </c>
      <c r="Q66" s="2">
        <f t="shared" si="3"/>
        <v>41228.052680000001</v>
      </c>
    </row>
    <row r="67" spans="1:17" ht="12" customHeight="1" x14ac:dyDescent="0.2">
      <c r="A67" s="37" t="s">
        <v>65</v>
      </c>
      <c r="B67" s="38" t="s">
        <v>62</v>
      </c>
      <c r="C67" s="39">
        <v>56643.604099999997</v>
      </c>
      <c r="D67" s="40">
        <v>2.7799999999999998E-2</v>
      </c>
      <c r="E67" s="31">
        <f t="shared" si="0"/>
        <v>13153.488852536522</v>
      </c>
      <c r="F67">
        <f t="shared" si="1"/>
        <v>13153.5</v>
      </c>
      <c r="G67">
        <f t="shared" si="6"/>
        <v>-2.4119749999954365E-2</v>
      </c>
      <c r="J67">
        <f>+G67</f>
        <v>-2.4119749999954365E-2</v>
      </c>
      <c r="O67">
        <f t="shared" ca="1" si="2"/>
        <v>-2.9644855666673679E-2</v>
      </c>
      <c r="Q67" s="2">
        <f t="shared" si="3"/>
        <v>41625.104099999997</v>
      </c>
    </row>
    <row r="68" spans="1:17" ht="12" customHeight="1" x14ac:dyDescent="0.2">
      <c r="A68" s="58" t="s">
        <v>265</v>
      </c>
      <c r="B68" s="59" t="s">
        <v>62</v>
      </c>
      <c r="C68" s="60">
        <v>59297.360699999997</v>
      </c>
      <c r="D68" s="60">
        <v>2.9999999999999997E-4</v>
      </c>
      <c r="E68" s="31">
        <f>+(C68-C$7)/C$8</f>
        <v>14379.979789235884</v>
      </c>
      <c r="F68">
        <f t="shared" si="1"/>
        <v>14380</v>
      </c>
      <c r="G68">
        <f>+C68-(C$7+F68*C$8)</f>
        <v>-4.3730000004870817E-2</v>
      </c>
      <c r="K68">
        <f>+G68</f>
        <v>-4.3730000004870817E-2</v>
      </c>
      <c r="O68">
        <f ca="1">+C$11+C$12*F68</f>
        <v>-3.7680105773937357E-2</v>
      </c>
      <c r="Q68" s="2">
        <f>+C68-15018.5</f>
        <v>44278.860699999997</v>
      </c>
    </row>
    <row r="69" spans="1:17" ht="12" customHeight="1" x14ac:dyDescent="0.2">
      <c r="A69" s="61" t="s">
        <v>266</v>
      </c>
      <c r="B69" s="62" t="s">
        <v>62</v>
      </c>
      <c r="C69" s="66">
        <v>59297.360699999997</v>
      </c>
      <c r="D69" s="65">
        <v>2.9999999999999997E-4</v>
      </c>
      <c r="E69" s="31">
        <f t="shared" ref="E69:E70" si="8">+(C69-C$7)/C$8</f>
        <v>14379.979789235884</v>
      </c>
      <c r="F69">
        <f t="shared" ref="F69:F70" si="9">ROUND(2*E69,0)/2</f>
        <v>14380</v>
      </c>
      <c r="G69">
        <f t="shared" ref="G69:G70" si="10">+C69-(C$7+F69*C$8)</f>
        <v>-4.3730000004870817E-2</v>
      </c>
      <c r="K69">
        <f>+G69</f>
        <v>-4.3730000004870817E-2</v>
      </c>
      <c r="O69">
        <f t="shared" ref="O69:O70" ca="1" si="11">+C$11+C$12*F69</f>
        <v>-3.7680105773937357E-2</v>
      </c>
      <c r="Q69" s="2">
        <f t="shared" ref="Q69:Q70" si="12">+C69-15018.5</f>
        <v>44278.860699999997</v>
      </c>
    </row>
    <row r="70" spans="1:17" ht="12" customHeight="1" x14ac:dyDescent="0.2">
      <c r="A70" s="61" t="s">
        <v>267</v>
      </c>
      <c r="B70" s="62" t="s">
        <v>62</v>
      </c>
      <c r="C70" s="66">
        <v>59628.405299999999</v>
      </c>
      <c r="D70" s="65">
        <v>2.0000000000000001E-4</v>
      </c>
      <c r="E70" s="31">
        <f t="shared" si="8"/>
        <v>14532.979202046865</v>
      </c>
      <c r="F70">
        <f t="shared" si="9"/>
        <v>14533</v>
      </c>
      <c r="G70">
        <f t="shared" si="10"/>
        <v>-4.5000500002061017E-2</v>
      </c>
      <c r="K70">
        <f>+G70</f>
        <v>-4.5000500002061017E-2</v>
      </c>
      <c r="O70">
        <f t="shared" ca="1" si="11"/>
        <v>-3.8682464735544646E-2</v>
      </c>
      <c r="Q70" s="2">
        <f t="shared" si="12"/>
        <v>44609.905299999999</v>
      </c>
    </row>
    <row r="71" spans="1:17" ht="12" customHeight="1" x14ac:dyDescent="0.2">
      <c r="A71" s="63" t="s">
        <v>268</v>
      </c>
      <c r="B71" s="64" t="s">
        <v>62</v>
      </c>
      <c r="C71" s="65">
        <v>59987.575100000002</v>
      </c>
      <c r="D71" s="65">
        <v>5.9999999999999995E-4</v>
      </c>
      <c r="E71" s="31">
        <f t="shared" ref="E71" si="13">+(C71-C$7)/C$8</f>
        <v>14698.977283572551</v>
      </c>
      <c r="F71">
        <f t="shared" ref="F71" si="14">ROUND(2*E71,0)/2</f>
        <v>14699</v>
      </c>
      <c r="G71">
        <f t="shared" ref="G71" si="15">+C71-(C$7+F71*C$8)</f>
        <v>-4.915150000306312E-2</v>
      </c>
      <c r="K71">
        <f>+G71</f>
        <v>-4.915150000306312E-2</v>
      </c>
      <c r="O71">
        <f t="shared" ref="O71" ca="1" si="16">+C$11+C$12*F71</f>
        <v>-3.9769991452059748E-2</v>
      </c>
      <c r="Q71" s="2">
        <f t="shared" ref="Q71" si="17">+C71-15018.5</f>
        <v>44969.075100000002</v>
      </c>
    </row>
    <row r="72" spans="1:17" ht="12" customHeight="1" x14ac:dyDescent="0.2">
      <c r="C72" s="12"/>
      <c r="D72" s="12"/>
    </row>
    <row r="73" spans="1:17" x14ac:dyDescent="0.2">
      <c r="C73" s="12"/>
      <c r="D73" s="12"/>
    </row>
    <row r="74" spans="1:17" x14ac:dyDescent="0.2">
      <c r="C74" s="12"/>
      <c r="D74" s="12"/>
    </row>
    <row r="75" spans="1:17" x14ac:dyDescent="0.2">
      <c r="C75" s="12"/>
      <c r="D75" s="12"/>
    </row>
    <row r="76" spans="1:17" x14ac:dyDescent="0.2">
      <c r="C76" s="12"/>
      <c r="D76" s="12"/>
    </row>
    <row r="77" spans="1:17" x14ac:dyDescent="0.2">
      <c r="C77" s="12"/>
      <c r="D77" s="12"/>
    </row>
    <row r="78" spans="1:17" x14ac:dyDescent="0.2">
      <c r="C78" s="12"/>
      <c r="D78" s="12"/>
    </row>
    <row r="79" spans="1:17" x14ac:dyDescent="0.2">
      <c r="C79" s="12"/>
      <c r="D79" s="12"/>
    </row>
    <row r="80" spans="1:17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0"/>
  <sheetViews>
    <sheetView topLeftCell="A16" workbookViewId="0">
      <selection activeCell="A34" sqref="A34:D55"/>
    </sheetView>
  </sheetViews>
  <sheetFormatPr defaultRowHeight="12.75" x14ac:dyDescent="0.2"/>
  <cols>
    <col min="1" max="1" width="19.7109375" style="12" customWidth="1"/>
    <col min="2" max="2" width="4.42578125" style="15" customWidth="1"/>
    <col min="3" max="3" width="12.7109375" style="12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2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1" t="s">
        <v>66</v>
      </c>
      <c r="I1" s="42" t="s">
        <v>67</v>
      </c>
      <c r="J1" s="43" t="s">
        <v>68</v>
      </c>
    </row>
    <row r="2" spans="1:16" x14ac:dyDescent="0.2">
      <c r="I2" s="44" t="s">
        <v>69</v>
      </c>
      <c r="J2" s="45" t="s">
        <v>70</v>
      </c>
    </row>
    <row r="3" spans="1:16" x14ac:dyDescent="0.2">
      <c r="A3" s="46" t="s">
        <v>71</v>
      </c>
      <c r="I3" s="44" t="s">
        <v>72</v>
      </c>
      <c r="J3" s="45" t="s">
        <v>73</v>
      </c>
    </row>
    <row r="4" spans="1:16" x14ac:dyDescent="0.2">
      <c r="I4" s="44" t="s">
        <v>74</v>
      </c>
      <c r="J4" s="45" t="s">
        <v>73</v>
      </c>
    </row>
    <row r="5" spans="1:16" ht="13.5" thickBot="1" x14ac:dyDescent="0.25">
      <c r="I5" s="47" t="s">
        <v>75</v>
      </c>
      <c r="J5" s="48" t="s">
        <v>76</v>
      </c>
    </row>
    <row r="10" spans="1:16" ht="13.5" thickBot="1" x14ac:dyDescent="0.25"/>
    <row r="11" spans="1:16" ht="12.75" customHeight="1" thickBot="1" x14ac:dyDescent="0.25">
      <c r="A11" s="12" t="str">
        <f t="shared" ref="A11:A55" si="0">P11</f>
        <v> BBS 21 </v>
      </c>
      <c r="B11" s="17" t="str">
        <f t="shared" ref="B11:B55" si="1">IF(H11=INT(H11),"I","II")</f>
        <v>II</v>
      </c>
      <c r="C11" s="12">
        <f t="shared" ref="C11:C55" si="2">1*G11</f>
        <v>42471.343999999997</v>
      </c>
      <c r="D11" s="15" t="str">
        <f t="shared" ref="D11:D55" si="3">VLOOKUP(F11,I$1:J$5,2,FALSE)</f>
        <v>vis</v>
      </c>
      <c r="E11" s="49">
        <f>VLOOKUP(C11,Active!C$21:E$973,3,FALSE)</f>
        <v>6603.4727111933562</v>
      </c>
      <c r="F11" s="17" t="s">
        <v>75</v>
      </c>
      <c r="G11" s="15" t="str">
        <f t="shared" ref="G11:G55" si="4">MID(I11,3,LEN(I11)-3)</f>
        <v>42471.344</v>
      </c>
      <c r="H11" s="12">
        <f t="shared" ref="H11:H55" si="5">1*K11</f>
        <v>6603.5</v>
      </c>
      <c r="I11" s="50" t="s">
        <v>111</v>
      </c>
      <c r="J11" s="51" t="s">
        <v>112</v>
      </c>
      <c r="K11" s="50">
        <v>6603.5</v>
      </c>
      <c r="L11" s="50" t="s">
        <v>113</v>
      </c>
      <c r="M11" s="51" t="s">
        <v>114</v>
      </c>
      <c r="N11" s="51"/>
      <c r="O11" s="52" t="s">
        <v>115</v>
      </c>
      <c r="P11" s="52" t="s">
        <v>116</v>
      </c>
    </row>
    <row r="12" spans="1:16" ht="12.75" customHeight="1" thickBot="1" x14ac:dyDescent="0.25">
      <c r="A12" s="12" t="str">
        <f t="shared" si="0"/>
        <v> BBS 27 </v>
      </c>
      <c r="B12" s="17" t="str">
        <f t="shared" si="1"/>
        <v>I</v>
      </c>
      <c r="C12" s="12">
        <f t="shared" si="2"/>
        <v>42842.468999999997</v>
      </c>
      <c r="D12" s="15" t="str">
        <f t="shared" si="3"/>
        <v>vis</v>
      </c>
      <c r="E12" s="49">
        <f>VLOOKUP(C12,Active!C$21:E$973,3,FALSE)</f>
        <v>6774.9961466442746</v>
      </c>
      <c r="F12" s="17" t="s">
        <v>75</v>
      </c>
      <c r="G12" s="15" t="str">
        <f t="shared" si="4"/>
        <v>42842.469</v>
      </c>
      <c r="H12" s="12">
        <f t="shared" si="5"/>
        <v>6775</v>
      </c>
      <c r="I12" s="50" t="s">
        <v>117</v>
      </c>
      <c r="J12" s="51" t="s">
        <v>118</v>
      </c>
      <c r="K12" s="50">
        <v>6775</v>
      </c>
      <c r="L12" s="50" t="s">
        <v>119</v>
      </c>
      <c r="M12" s="51" t="s">
        <v>114</v>
      </c>
      <c r="N12" s="51"/>
      <c r="O12" s="52" t="s">
        <v>120</v>
      </c>
      <c r="P12" s="52" t="s">
        <v>121</v>
      </c>
    </row>
    <row r="13" spans="1:16" ht="12.75" customHeight="1" thickBot="1" x14ac:dyDescent="0.25">
      <c r="A13" s="12" t="str">
        <f t="shared" si="0"/>
        <v> BBS 33 </v>
      </c>
      <c r="B13" s="17" t="str">
        <f t="shared" si="1"/>
        <v>I</v>
      </c>
      <c r="C13" s="12">
        <f t="shared" si="2"/>
        <v>43210.311000000002</v>
      </c>
      <c r="D13" s="15" t="str">
        <f t="shared" si="3"/>
        <v>vis</v>
      </c>
      <c r="E13" s="49">
        <f>VLOOKUP(C13,Active!C$21:E$973,3,FALSE)</f>
        <v>6945.0022727288488</v>
      </c>
      <c r="F13" s="17" t="s">
        <v>75</v>
      </c>
      <c r="G13" s="15" t="str">
        <f t="shared" si="4"/>
        <v>43210.311</v>
      </c>
      <c r="H13" s="12">
        <f t="shared" si="5"/>
        <v>6945</v>
      </c>
      <c r="I13" s="50" t="s">
        <v>122</v>
      </c>
      <c r="J13" s="51" t="s">
        <v>123</v>
      </c>
      <c r="K13" s="50">
        <v>6945</v>
      </c>
      <c r="L13" s="50" t="s">
        <v>124</v>
      </c>
      <c r="M13" s="51" t="s">
        <v>114</v>
      </c>
      <c r="N13" s="51"/>
      <c r="O13" s="52" t="s">
        <v>125</v>
      </c>
      <c r="P13" s="52" t="s">
        <v>126</v>
      </c>
    </row>
    <row r="14" spans="1:16" ht="12.75" customHeight="1" thickBot="1" x14ac:dyDescent="0.25">
      <c r="A14" s="12" t="str">
        <f t="shared" si="0"/>
        <v> BBS 45 </v>
      </c>
      <c r="B14" s="17" t="str">
        <f t="shared" si="1"/>
        <v>I</v>
      </c>
      <c r="C14" s="12">
        <f t="shared" si="2"/>
        <v>44203.421999999999</v>
      </c>
      <c r="D14" s="15" t="str">
        <f t="shared" si="3"/>
        <v>vis</v>
      </c>
      <c r="E14" s="49">
        <f>VLOOKUP(C14,Active!C$21:E$973,3,FALSE)</f>
        <v>7403.9899736492853</v>
      </c>
      <c r="F14" s="17" t="s">
        <v>75</v>
      </c>
      <c r="G14" s="15" t="str">
        <f t="shared" si="4"/>
        <v>44203.422</v>
      </c>
      <c r="H14" s="12">
        <f t="shared" si="5"/>
        <v>7404</v>
      </c>
      <c r="I14" s="50" t="s">
        <v>127</v>
      </c>
      <c r="J14" s="51" t="s">
        <v>128</v>
      </c>
      <c r="K14" s="50">
        <v>7404</v>
      </c>
      <c r="L14" s="50" t="s">
        <v>129</v>
      </c>
      <c r="M14" s="51" t="s">
        <v>114</v>
      </c>
      <c r="N14" s="51"/>
      <c r="O14" s="52" t="s">
        <v>125</v>
      </c>
      <c r="P14" s="52" t="s">
        <v>130</v>
      </c>
    </row>
    <row r="15" spans="1:16" ht="12.75" customHeight="1" thickBot="1" x14ac:dyDescent="0.25">
      <c r="A15" s="12" t="str">
        <f t="shared" si="0"/>
        <v> BBS 52 </v>
      </c>
      <c r="B15" s="17" t="str">
        <f t="shared" si="1"/>
        <v>I</v>
      </c>
      <c r="C15" s="12">
        <f t="shared" si="2"/>
        <v>44586.425999999999</v>
      </c>
      <c r="D15" s="15" t="str">
        <f t="shared" si="3"/>
        <v>vis</v>
      </c>
      <c r="E15" s="49">
        <f>VLOOKUP(C15,Active!C$21:E$973,3,FALSE)</f>
        <v>7581.0035455494371</v>
      </c>
      <c r="F15" s="17" t="s">
        <v>75</v>
      </c>
      <c r="G15" s="15" t="str">
        <f t="shared" si="4"/>
        <v>44586.426</v>
      </c>
      <c r="H15" s="12">
        <f t="shared" si="5"/>
        <v>7581</v>
      </c>
      <c r="I15" s="50" t="s">
        <v>135</v>
      </c>
      <c r="J15" s="51" t="s">
        <v>136</v>
      </c>
      <c r="K15" s="50">
        <v>7581</v>
      </c>
      <c r="L15" s="50" t="s">
        <v>137</v>
      </c>
      <c r="M15" s="51" t="s">
        <v>114</v>
      </c>
      <c r="N15" s="51"/>
      <c r="O15" s="52" t="s">
        <v>125</v>
      </c>
      <c r="P15" s="52" t="s">
        <v>138</v>
      </c>
    </row>
    <row r="16" spans="1:16" ht="12.75" customHeight="1" thickBot="1" x14ac:dyDescent="0.25">
      <c r="A16" s="12" t="str">
        <f t="shared" si="0"/>
        <v> BBS 57 </v>
      </c>
      <c r="B16" s="17" t="str">
        <f t="shared" si="1"/>
        <v>I</v>
      </c>
      <c r="C16" s="12">
        <f t="shared" si="2"/>
        <v>44906.650999999998</v>
      </c>
      <c r="D16" s="15" t="str">
        <f t="shared" si="3"/>
        <v>vis</v>
      </c>
      <c r="E16" s="49">
        <f>VLOOKUP(C16,Active!C$21:E$973,3,FALSE)</f>
        <v>7729.0024465053693</v>
      </c>
      <c r="F16" s="17" t="s">
        <v>75</v>
      </c>
      <c r="G16" s="15" t="str">
        <f t="shared" si="4"/>
        <v>44906.651</v>
      </c>
      <c r="H16" s="12">
        <f t="shared" si="5"/>
        <v>7729</v>
      </c>
      <c r="I16" s="50" t="s">
        <v>139</v>
      </c>
      <c r="J16" s="51" t="s">
        <v>140</v>
      </c>
      <c r="K16" s="50">
        <v>7729</v>
      </c>
      <c r="L16" s="50" t="s">
        <v>124</v>
      </c>
      <c r="M16" s="51" t="s">
        <v>114</v>
      </c>
      <c r="N16" s="51"/>
      <c r="O16" s="52" t="s">
        <v>125</v>
      </c>
      <c r="P16" s="52" t="s">
        <v>141</v>
      </c>
    </row>
    <row r="17" spans="1:16" ht="12.75" customHeight="1" thickBot="1" x14ac:dyDescent="0.25">
      <c r="A17" s="12" t="str">
        <f t="shared" si="0"/>
        <v> BBS 59 </v>
      </c>
      <c r="B17" s="17" t="str">
        <f t="shared" si="1"/>
        <v>I</v>
      </c>
      <c r="C17" s="12">
        <f t="shared" si="2"/>
        <v>45010.502</v>
      </c>
      <c r="D17" s="15" t="str">
        <f t="shared" si="3"/>
        <v>vis</v>
      </c>
      <c r="E17" s="49">
        <f>VLOOKUP(C17,Active!C$21:E$973,3,FALSE)</f>
        <v>7776.9994294491589</v>
      </c>
      <c r="F17" s="17" t="s">
        <v>75</v>
      </c>
      <c r="G17" s="15" t="str">
        <f t="shared" si="4"/>
        <v>45010.502</v>
      </c>
      <c r="H17" s="12">
        <f t="shared" si="5"/>
        <v>7777</v>
      </c>
      <c r="I17" s="50" t="s">
        <v>142</v>
      </c>
      <c r="J17" s="51" t="s">
        <v>143</v>
      </c>
      <c r="K17" s="50">
        <v>7777</v>
      </c>
      <c r="L17" s="50" t="s">
        <v>144</v>
      </c>
      <c r="M17" s="51" t="s">
        <v>114</v>
      </c>
      <c r="N17" s="51"/>
      <c r="O17" s="52" t="s">
        <v>125</v>
      </c>
      <c r="P17" s="52" t="s">
        <v>145</v>
      </c>
    </row>
    <row r="18" spans="1:16" ht="12.75" customHeight="1" thickBot="1" x14ac:dyDescent="0.25">
      <c r="A18" s="12" t="str">
        <f t="shared" si="0"/>
        <v> BBS 64 </v>
      </c>
      <c r="B18" s="17" t="str">
        <f t="shared" si="1"/>
        <v>I</v>
      </c>
      <c r="C18" s="12">
        <f t="shared" si="2"/>
        <v>45352.372000000003</v>
      </c>
      <c r="D18" s="15" t="str">
        <f t="shared" si="3"/>
        <v>vis</v>
      </c>
      <c r="E18" s="49">
        <f>VLOOKUP(C18,Active!C$21:E$973,3,FALSE)</f>
        <v>7935.0020347104755</v>
      </c>
      <c r="F18" s="17" t="s">
        <v>75</v>
      </c>
      <c r="G18" s="15" t="str">
        <f t="shared" si="4"/>
        <v>45352.372</v>
      </c>
      <c r="H18" s="12">
        <f t="shared" si="5"/>
        <v>7935</v>
      </c>
      <c r="I18" s="50" t="s">
        <v>146</v>
      </c>
      <c r="J18" s="51" t="s">
        <v>147</v>
      </c>
      <c r="K18" s="50">
        <v>7935</v>
      </c>
      <c r="L18" s="50" t="s">
        <v>148</v>
      </c>
      <c r="M18" s="51" t="s">
        <v>114</v>
      </c>
      <c r="N18" s="51"/>
      <c r="O18" s="52" t="s">
        <v>125</v>
      </c>
      <c r="P18" s="52" t="s">
        <v>149</v>
      </c>
    </row>
    <row r="19" spans="1:16" ht="12.75" customHeight="1" thickBot="1" x14ac:dyDescent="0.25">
      <c r="A19" s="12" t="str">
        <f t="shared" si="0"/>
        <v> BBS 64 </v>
      </c>
      <c r="B19" s="17" t="str">
        <f t="shared" si="1"/>
        <v>I</v>
      </c>
      <c r="C19" s="12">
        <f t="shared" si="2"/>
        <v>45352.373</v>
      </c>
      <c r="D19" s="15" t="str">
        <f t="shared" si="3"/>
        <v>vis</v>
      </c>
      <c r="E19" s="49">
        <f>VLOOKUP(C19,Active!C$21:E$973,3,FALSE)</f>
        <v>7935.0024968820744</v>
      </c>
      <c r="F19" s="17" t="s">
        <v>75</v>
      </c>
      <c r="G19" s="15" t="str">
        <f t="shared" si="4"/>
        <v>45352.373</v>
      </c>
      <c r="H19" s="12">
        <f t="shared" si="5"/>
        <v>7935</v>
      </c>
      <c r="I19" s="50" t="s">
        <v>150</v>
      </c>
      <c r="J19" s="51" t="s">
        <v>151</v>
      </c>
      <c r="K19" s="50">
        <v>7935</v>
      </c>
      <c r="L19" s="50" t="s">
        <v>124</v>
      </c>
      <c r="M19" s="51" t="s">
        <v>114</v>
      </c>
      <c r="N19" s="51"/>
      <c r="O19" s="52" t="s">
        <v>120</v>
      </c>
      <c r="P19" s="52" t="s">
        <v>149</v>
      </c>
    </row>
    <row r="20" spans="1:16" ht="12.75" customHeight="1" thickBot="1" x14ac:dyDescent="0.25">
      <c r="A20" s="12" t="str">
        <f t="shared" si="0"/>
        <v> BBS 82 </v>
      </c>
      <c r="B20" s="17" t="str">
        <f t="shared" si="1"/>
        <v>I</v>
      </c>
      <c r="C20" s="12">
        <f t="shared" si="2"/>
        <v>46821.534</v>
      </c>
      <c r="D20" s="15" t="str">
        <f t="shared" si="3"/>
        <v>vis</v>
      </c>
      <c r="E20" s="49">
        <f>VLOOKUP(C20,Active!C$21:E$973,3,FALSE)</f>
        <v>8614.0069884967797</v>
      </c>
      <c r="F20" s="17" t="s">
        <v>75</v>
      </c>
      <c r="G20" s="15" t="str">
        <f t="shared" si="4"/>
        <v>46821.534</v>
      </c>
      <c r="H20" s="12">
        <f t="shared" si="5"/>
        <v>8614</v>
      </c>
      <c r="I20" s="50" t="s">
        <v>157</v>
      </c>
      <c r="J20" s="51" t="s">
        <v>158</v>
      </c>
      <c r="K20" s="50">
        <v>8614</v>
      </c>
      <c r="L20" s="50" t="s">
        <v>159</v>
      </c>
      <c r="M20" s="51" t="s">
        <v>114</v>
      </c>
      <c r="N20" s="51"/>
      <c r="O20" s="52" t="s">
        <v>125</v>
      </c>
      <c r="P20" s="52" t="s">
        <v>160</v>
      </c>
    </row>
    <row r="21" spans="1:16" ht="12.75" customHeight="1" thickBot="1" x14ac:dyDescent="0.25">
      <c r="A21" s="12" t="str">
        <f t="shared" si="0"/>
        <v> BBS 90 </v>
      </c>
      <c r="B21" s="17" t="str">
        <f t="shared" si="1"/>
        <v>I</v>
      </c>
      <c r="C21" s="12">
        <f t="shared" si="2"/>
        <v>47535.54</v>
      </c>
      <c r="D21" s="15" t="str">
        <f t="shared" si="3"/>
        <v>vis</v>
      </c>
      <c r="E21" s="49">
        <f>VLOOKUP(C21,Active!C$21:E$973,3,FALSE)</f>
        <v>8944.0002846977059</v>
      </c>
      <c r="F21" s="17" t="s">
        <v>75</v>
      </c>
      <c r="G21" s="15" t="str">
        <f t="shared" si="4"/>
        <v>47535.540</v>
      </c>
      <c r="H21" s="12">
        <f t="shared" si="5"/>
        <v>8944</v>
      </c>
      <c r="I21" s="50" t="s">
        <v>169</v>
      </c>
      <c r="J21" s="51" t="s">
        <v>170</v>
      </c>
      <c r="K21" s="50">
        <v>8944</v>
      </c>
      <c r="L21" s="50" t="s">
        <v>171</v>
      </c>
      <c r="M21" s="51" t="s">
        <v>114</v>
      </c>
      <c r="N21" s="51"/>
      <c r="O21" s="52" t="s">
        <v>125</v>
      </c>
      <c r="P21" s="52" t="s">
        <v>172</v>
      </c>
    </row>
    <row r="22" spans="1:16" ht="12.75" customHeight="1" thickBot="1" x14ac:dyDescent="0.25">
      <c r="A22" s="12" t="str">
        <f t="shared" si="0"/>
        <v> BBS 93 </v>
      </c>
      <c r="B22" s="17" t="str">
        <f t="shared" si="1"/>
        <v>I</v>
      </c>
      <c r="C22" s="12">
        <f t="shared" si="2"/>
        <v>47840.633999999998</v>
      </c>
      <c r="D22" s="15" t="str">
        <f t="shared" si="3"/>
        <v>vis</v>
      </c>
      <c r="E22" s="49">
        <f>VLOOKUP(C22,Active!C$21:E$973,3,FALSE)</f>
        <v>9085.0060671576921</v>
      </c>
      <c r="F22" s="17" t="s">
        <v>75</v>
      </c>
      <c r="G22" s="15" t="str">
        <f t="shared" si="4"/>
        <v>47840.634</v>
      </c>
      <c r="H22" s="12">
        <f t="shared" si="5"/>
        <v>9085</v>
      </c>
      <c r="I22" s="50" t="s">
        <v>177</v>
      </c>
      <c r="J22" s="51" t="s">
        <v>178</v>
      </c>
      <c r="K22" s="50">
        <v>9085</v>
      </c>
      <c r="L22" s="50" t="s">
        <v>179</v>
      </c>
      <c r="M22" s="51" t="s">
        <v>114</v>
      </c>
      <c r="N22" s="51"/>
      <c r="O22" s="52" t="s">
        <v>125</v>
      </c>
      <c r="P22" s="52" t="s">
        <v>180</v>
      </c>
    </row>
    <row r="23" spans="1:16" ht="12.75" customHeight="1" thickBot="1" x14ac:dyDescent="0.25">
      <c r="A23" s="12" t="str">
        <f t="shared" si="0"/>
        <v>IBVS 3877 </v>
      </c>
      <c r="B23" s="17" t="str">
        <f t="shared" si="1"/>
        <v>I</v>
      </c>
      <c r="C23" s="12">
        <f t="shared" si="2"/>
        <v>49002.52</v>
      </c>
      <c r="D23" s="15" t="str">
        <f t="shared" si="3"/>
        <v>vis</v>
      </c>
      <c r="E23" s="49">
        <f>VLOOKUP(C23,Active!C$21:E$973,3,FALSE)</f>
        <v>9621.9967800504546</v>
      </c>
      <c r="F23" s="17" t="s">
        <v>75</v>
      </c>
      <c r="G23" s="15" t="str">
        <f t="shared" si="4"/>
        <v>49002.520</v>
      </c>
      <c r="H23" s="12">
        <f t="shared" si="5"/>
        <v>9622</v>
      </c>
      <c r="I23" s="50" t="s">
        <v>188</v>
      </c>
      <c r="J23" s="51" t="s">
        <v>189</v>
      </c>
      <c r="K23" s="50">
        <v>9622</v>
      </c>
      <c r="L23" s="50" t="s">
        <v>190</v>
      </c>
      <c r="M23" s="51" t="s">
        <v>191</v>
      </c>
      <c r="N23" s="51" t="s">
        <v>192</v>
      </c>
      <c r="O23" s="52" t="s">
        <v>155</v>
      </c>
      <c r="P23" s="53" t="s">
        <v>193</v>
      </c>
    </row>
    <row r="24" spans="1:16" ht="12.75" customHeight="1" thickBot="1" x14ac:dyDescent="0.25">
      <c r="A24" s="12" t="str">
        <f t="shared" si="0"/>
        <v>OEJV 0003 </v>
      </c>
      <c r="B24" s="17" t="str">
        <f t="shared" si="1"/>
        <v>I</v>
      </c>
      <c r="C24" s="12">
        <f t="shared" si="2"/>
        <v>53377.514000000003</v>
      </c>
      <c r="D24" s="15" t="str">
        <f t="shared" si="3"/>
        <v>vis</v>
      </c>
      <c r="E24" s="49">
        <f>VLOOKUP(C24,Active!C$21:E$973,3,FALSE)</f>
        <v>11643.994761747075</v>
      </c>
      <c r="F24" s="17" t="s">
        <v>75</v>
      </c>
      <c r="G24" s="15" t="str">
        <f t="shared" si="4"/>
        <v>53377.514</v>
      </c>
      <c r="H24" s="12">
        <f t="shared" si="5"/>
        <v>11644</v>
      </c>
      <c r="I24" s="50" t="s">
        <v>213</v>
      </c>
      <c r="J24" s="51" t="s">
        <v>214</v>
      </c>
      <c r="K24" s="50">
        <v>11644</v>
      </c>
      <c r="L24" s="50" t="s">
        <v>215</v>
      </c>
      <c r="M24" s="51" t="s">
        <v>114</v>
      </c>
      <c r="N24" s="51"/>
      <c r="O24" s="52" t="s">
        <v>125</v>
      </c>
      <c r="P24" s="53" t="s">
        <v>216</v>
      </c>
    </row>
    <row r="25" spans="1:16" ht="12.75" customHeight="1" thickBot="1" x14ac:dyDescent="0.25">
      <c r="A25" s="12" t="str">
        <f t="shared" si="0"/>
        <v>BAVM 183 </v>
      </c>
      <c r="B25" s="17" t="str">
        <f t="shared" si="1"/>
        <v>II</v>
      </c>
      <c r="C25" s="12">
        <f t="shared" si="2"/>
        <v>54092.614300000001</v>
      </c>
      <c r="D25" s="15" t="str">
        <f t="shared" si="3"/>
        <v>vis</v>
      </c>
      <c r="E25" s="49">
        <f>VLOOKUP(C25,Active!C$21:E$973,3,FALSE)</f>
        <v>11974.493812331062</v>
      </c>
      <c r="F25" s="17" t="s">
        <v>75</v>
      </c>
      <c r="G25" s="15" t="str">
        <f t="shared" si="4"/>
        <v>54092.6143</v>
      </c>
      <c r="H25" s="12">
        <f t="shared" si="5"/>
        <v>11974.5</v>
      </c>
      <c r="I25" s="50" t="s">
        <v>217</v>
      </c>
      <c r="J25" s="51" t="s">
        <v>218</v>
      </c>
      <c r="K25" s="50">
        <v>11974.5</v>
      </c>
      <c r="L25" s="50" t="s">
        <v>219</v>
      </c>
      <c r="M25" s="51" t="s">
        <v>220</v>
      </c>
      <c r="N25" s="51" t="s">
        <v>221</v>
      </c>
      <c r="O25" s="52" t="s">
        <v>222</v>
      </c>
      <c r="P25" s="53" t="s">
        <v>223</v>
      </c>
    </row>
    <row r="26" spans="1:16" ht="12.75" customHeight="1" thickBot="1" x14ac:dyDescent="0.25">
      <c r="A26" s="12" t="str">
        <f t="shared" si="0"/>
        <v>BAVM 186 </v>
      </c>
      <c r="B26" s="17" t="str">
        <f t="shared" si="1"/>
        <v>II</v>
      </c>
      <c r="C26" s="12">
        <f t="shared" si="2"/>
        <v>54116.407399999996</v>
      </c>
      <c r="D26" s="15" t="str">
        <f t="shared" si="3"/>
        <v>vis</v>
      </c>
      <c r="E26" s="49">
        <f>VLOOKUP(C26,Active!C$21:E$973,3,FALSE)</f>
        <v>11985.490307452723</v>
      </c>
      <c r="F26" s="17" t="s">
        <v>75</v>
      </c>
      <c r="G26" s="15" t="str">
        <f t="shared" si="4"/>
        <v>54116.4074</v>
      </c>
      <c r="H26" s="12">
        <f t="shared" si="5"/>
        <v>11985.5</v>
      </c>
      <c r="I26" s="50" t="s">
        <v>224</v>
      </c>
      <c r="J26" s="51" t="s">
        <v>225</v>
      </c>
      <c r="K26" s="50" t="s">
        <v>226</v>
      </c>
      <c r="L26" s="50" t="s">
        <v>227</v>
      </c>
      <c r="M26" s="51" t="s">
        <v>220</v>
      </c>
      <c r="N26" s="51" t="s">
        <v>221</v>
      </c>
      <c r="O26" s="52" t="s">
        <v>175</v>
      </c>
      <c r="P26" s="53" t="s">
        <v>228</v>
      </c>
    </row>
    <row r="27" spans="1:16" ht="12.75" customHeight="1" thickBot="1" x14ac:dyDescent="0.25">
      <c r="A27" s="12" t="str">
        <f t="shared" si="0"/>
        <v>BAVM 209 </v>
      </c>
      <c r="B27" s="17" t="str">
        <f t="shared" si="1"/>
        <v>II</v>
      </c>
      <c r="C27" s="12">
        <f t="shared" si="2"/>
        <v>54830.432200000003</v>
      </c>
      <c r="D27" s="15" t="str">
        <f t="shared" si="3"/>
        <v>vis</v>
      </c>
      <c r="E27" s="49">
        <f>VLOOKUP(C27,Active!C$21:E$973,3,FALSE)</f>
        <v>12315.492292479752</v>
      </c>
      <c r="F27" s="17" t="s">
        <v>75</v>
      </c>
      <c r="G27" s="15" t="str">
        <f t="shared" si="4"/>
        <v>54830.4322</v>
      </c>
      <c r="H27" s="12">
        <f t="shared" si="5"/>
        <v>12315.5</v>
      </c>
      <c r="I27" s="50" t="s">
        <v>229</v>
      </c>
      <c r="J27" s="51" t="s">
        <v>230</v>
      </c>
      <c r="K27" s="50" t="s">
        <v>231</v>
      </c>
      <c r="L27" s="50" t="s">
        <v>232</v>
      </c>
      <c r="M27" s="51" t="s">
        <v>220</v>
      </c>
      <c r="N27" s="51" t="s">
        <v>221</v>
      </c>
      <c r="O27" s="52" t="s">
        <v>233</v>
      </c>
      <c r="P27" s="53" t="s">
        <v>234</v>
      </c>
    </row>
    <row r="28" spans="1:16" ht="12.75" customHeight="1" thickBot="1" x14ac:dyDescent="0.25">
      <c r="A28" s="12" t="str">
        <f t="shared" si="0"/>
        <v>OEJV 0160 </v>
      </c>
      <c r="B28" s="17" t="str">
        <f t="shared" si="1"/>
        <v>II</v>
      </c>
      <c r="C28" s="12">
        <f t="shared" si="2"/>
        <v>55622.330950000003</v>
      </c>
      <c r="D28" s="15" t="str">
        <f t="shared" si="3"/>
        <v>vis</v>
      </c>
      <c r="E28" s="49">
        <f>VLOOKUP(C28,Active!C$21:E$973,3,FALSE)</f>
        <v>12681.485405660726</v>
      </c>
      <c r="F28" s="17" t="s">
        <v>75</v>
      </c>
      <c r="G28" s="15" t="str">
        <f t="shared" si="4"/>
        <v>55622.33095</v>
      </c>
      <c r="H28" s="12">
        <f t="shared" si="5"/>
        <v>12681.5</v>
      </c>
      <c r="I28" s="50" t="s">
        <v>235</v>
      </c>
      <c r="J28" s="51" t="s">
        <v>236</v>
      </c>
      <c r="K28" s="50" t="s">
        <v>237</v>
      </c>
      <c r="L28" s="50" t="s">
        <v>238</v>
      </c>
      <c r="M28" s="51" t="s">
        <v>220</v>
      </c>
      <c r="N28" s="51" t="s">
        <v>239</v>
      </c>
      <c r="O28" s="52" t="s">
        <v>240</v>
      </c>
      <c r="P28" s="53" t="s">
        <v>241</v>
      </c>
    </row>
    <row r="29" spans="1:16" ht="12.75" customHeight="1" thickBot="1" x14ac:dyDescent="0.25">
      <c r="A29" s="12" t="str">
        <f t="shared" si="0"/>
        <v>OEJV 0160 </v>
      </c>
      <c r="B29" s="17" t="str">
        <f t="shared" si="1"/>
        <v>I</v>
      </c>
      <c r="C29" s="12">
        <f t="shared" si="2"/>
        <v>55649.375650000002</v>
      </c>
      <c r="D29" s="15" t="str">
        <f t="shared" si="3"/>
        <v>vis</v>
      </c>
      <c r="E29" s="49">
        <f>VLOOKUP(C29,Active!C$21:E$973,3,FALSE)</f>
        <v>12693.984697960461</v>
      </c>
      <c r="F29" s="17" t="s">
        <v>75</v>
      </c>
      <c r="G29" s="15" t="str">
        <f t="shared" si="4"/>
        <v>55649.37565</v>
      </c>
      <c r="H29" s="12">
        <f t="shared" si="5"/>
        <v>12694</v>
      </c>
      <c r="I29" s="50" t="s">
        <v>242</v>
      </c>
      <c r="J29" s="51" t="s">
        <v>243</v>
      </c>
      <c r="K29" s="50" t="s">
        <v>244</v>
      </c>
      <c r="L29" s="50" t="s">
        <v>245</v>
      </c>
      <c r="M29" s="51" t="s">
        <v>220</v>
      </c>
      <c r="N29" s="51" t="s">
        <v>239</v>
      </c>
      <c r="O29" s="52" t="s">
        <v>240</v>
      </c>
      <c r="P29" s="53" t="s">
        <v>241</v>
      </c>
    </row>
    <row r="30" spans="1:16" ht="12.75" customHeight="1" thickBot="1" x14ac:dyDescent="0.25">
      <c r="A30" s="12" t="str">
        <f t="shared" si="0"/>
        <v>IBVS 6011 </v>
      </c>
      <c r="B30" s="17" t="str">
        <f t="shared" si="1"/>
        <v>I</v>
      </c>
      <c r="C30" s="12">
        <f t="shared" si="2"/>
        <v>55893.871200000001</v>
      </c>
      <c r="D30" s="15" t="str">
        <f t="shared" si="3"/>
        <v>vis</v>
      </c>
      <c r="E30" s="49">
        <f>VLOOKUP(C30,Active!C$21:E$973,3,FALSE)</f>
        <v>12806.983597760964</v>
      </c>
      <c r="F30" s="17" t="s">
        <v>75</v>
      </c>
      <c r="G30" s="15" t="str">
        <f t="shared" si="4"/>
        <v>55893.8712</v>
      </c>
      <c r="H30" s="12">
        <f t="shared" si="5"/>
        <v>12807</v>
      </c>
      <c r="I30" s="50" t="s">
        <v>246</v>
      </c>
      <c r="J30" s="51" t="s">
        <v>247</v>
      </c>
      <c r="K30" s="50" t="s">
        <v>248</v>
      </c>
      <c r="L30" s="50" t="s">
        <v>249</v>
      </c>
      <c r="M30" s="51" t="s">
        <v>220</v>
      </c>
      <c r="N30" s="51" t="s">
        <v>75</v>
      </c>
      <c r="O30" s="52" t="s">
        <v>115</v>
      </c>
      <c r="P30" s="53" t="s">
        <v>250</v>
      </c>
    </row>
    <row r="31" spans="1:16" ht="12.75" customHeight="1" thickBot="1" x14ac:dyDescent="0.25">
      <c r="A31" s="12" t="str">
        <f t="shared" si="0"/>
        <v>OEJV 0160 </v>
      </c>
      <c r="B31" s="17" t="str">
        <f t="shared" si="1"/>
        <v>I</v>
      </c>
      <c r="C31" s="12">
        <f t="shared" si="2"/>
        <v>56006.3819</v>
      </c>
      <c r="D31" s="15" t="str">
        <f t="shared" si="3"/>
        <v>vis</v>
      </c>
      <c r="E31" s="49">
        <f>VLOOKUP(C31,Active!C$21:E$973,3,FALSE)</f>
        <v>12858.982848118627</v>
      </c>
      <c r="F31" s="17" t="s">
        <v>75</v>
      </c>
      <c r="G31" s="15" t="str">
        <f t="shared" si="4"/>
        <v>56006.3819</v>
      </c>
      <c r="H31" s="12">
        <f t="shared" si="5"/>
        <v>12859</v>
      </c>
      <c r="I31" s="50" t="s">
        <v>251</v>
      </c>
      <c r="J31" s="51" t="s">
        <v>252</v>
      </c>
      <c r="K31" s="50" t="s">
        <v>253</v>
      </c>
      <c r="L31" s="50" t="s">
        <v>254</v>
      </c>
      <c r="M31" s="51" t="s">
        <v>220</v>
      </c>
      <c r="N31" s="51" t="s">
        <v>239</v>
      </c>
      <c r="O31" s="52" t="s">
        <v>240</v>
      </c>
      <c r="P31" s="53" t="s">
        <v>241</v>
      </c>
    </row>
    <row r="32" spans="1:16" ht="12.75" customHeight="1" thickBot="1" x14ac:dyDescent="0.25">
      <c r="A32" s="12" t="str">
        <f t="shared" si="0"/>
        <v>OEJV 0160 </v>
      </c>
      <c r="B32" s="17" t="str">
        <f t="shared" si="1"/>
        <v>I</v>
      </c>
      <c r="C32" s="12">
        <f t="shared" si="2"/>
        <v>56246.552680000001</v>
      </c>
      <c r="D32" s="15" t="str">
        <f t="shared" si="3"/>
        <v>vis</v>
      </c>
      <c r="E32" s="49">
        <f>VLOOKUP(C32,Active!C$21:E$973,3,FALSE)</f>
        <v>12969.982962043927</v>
      </c>
      <c r="F32" s="17" t="s">
        <v>75</v>
      </c>
      <c r="G32" s="15" t="str">
        <f t="shared" si="4"/>
        <v>56246.55268</v>
      </c>
      <c r="H32" s="12">
        <f t="shared" si="5"/>
        <v>12970</v>
      </c>
      <c r="I32" s="50" t="s">
        <v>255</v>
      </c>
      <c r="J32" s="51" t="s">
        <v>256</v>
      </c>
      <c r="K32" s="50" t="s">
        <v>257</v>
      </c>
      <c r="L32" s="50" t="s">
        <v>258</v>
      </c>
      <c r="M32" s="51" t="s">
        <v>220</v>
      </c>
      <c r="N32" s="51" t="s">
        <v>239</v>
      </c>
      <c r="O32" s="52" t="s">
        <v>240</v>
      </c>
      <c r="P32" s="53" t="s">
        <v>241</v>
      </c>
    </row>
    <row r="33" spans="1:16" ht="12.75" customHeight="1" thickBot="1" x14ac:dyDescent="0.25">
      <c r="A33" s="12" t="str">
        <f t="shared" si="0"/>
        <v>BAVM 234 </v>
      </c>
      <c r="B33" s="17" t="str">
        <f t="shared" si="1"/>
        <v>II</v>
      </c>
      <c r="C33" s="12">
        <f t="shared" si="2"/>
        <v>56643.604099999997</v>
      </c>
      <c r="D33" s="15" t="str">
        <f t="shared" si="3"/>
        <v>vis</v>
      </c>
      <c r="E33" s="49">
        <f>VLOOKUP(C33,Active!C$21:E$973,3,FALSE)</f>
        <v>13153.488852536522</v>
      </c>
      <c r="F33" s="17" t="s">
        <v>75</v>
      </c>
      <c r="G33" s="15" t="str">
        <f t="shared" si="4"/>
        <v>56643.6041</v>
      </c>
      <c r="H33" s="12">
        <f t="shared" si="5"/>
        <v>13153.5</v>
      </c>
      <c r="I33" s="50" t="s">
        <v>259</v>
      </c>
      <c r="J33" s="51" t="s">
        <v>260</v>
      </c>
      <c r="K33" s="50" t="s">
        <v>261</v>
      </c>
      <c r="L33" s="50" t="s">
        <v>262</v>
      </c>
      <c r="M33" s="51" t="s">
        <v>220</v>
      </c>
      <c r="N33" s="51" t="s">
        <v>221</v>
      </c>
      <c r="O33" s="52" t="s">
        <v>233</v>
      </c>
      <c r="P33" s="53" t="s">
        <v>263</v>
      </c>
    </row>
    <row r="34" spans="1:16" ht="12.75" customHeight="1" thickBot="1" x14ac:dyDescent="0.25">
      <c r="A34" s="12" t="str">
        <f t="shared" si="0"/>
        <v> VSS 1.111 </v>
      </c>
      <c r="B34" s="17" t="str">
        <f t="shared" si="1"/>
        <v>I</v>
      </c>
      <c r="C34" s="12">
        <f t="shared" si="2"/>
        <v>28183.34</v>
      </c>
      <c r="D34" s="15" t="str">
        <f t="shared" si="3"/>
        <v>vis</v>
      </c>
      <c r="E34" s="49">
        <f>VLOOKUP(C34,Active!C$21:E$973,3,FALSE)</f>
        <v>-3.6973728085548073E-2</v>
      </c>
      <c r="F34" s="17" t="s">
        <v>75</v>
      </c>
      <c r="G34" s="15" t="str">
        <f t="shared" si="4"/>
        <v>28183.34</v>
      </c>
      <c r="H34" s="12">
        <f t="shared" si="5"/>
        <v>0</v>
      </c>
      <c r="I34" s="50" t="s">
        <v>78</v>
      </c>
      <c r="J34" s="51" t="s">
        <v>79</v>
      </c>
      <c r="K34" s="50">
        <v>0</v>
      </c>
      <c r="L34" s="50" t="s">
        <v>80</v>
      </c>
      <c r="M34" s="51" t="s">
        <v>81</v>
      </c>
      <c r="N34" s="51"/>
      <c r="O34" s="52" t="s">
        <v>82</v>
      </c>
      <c r="P34" s="52" t="s">
        <v>83</v>
      </c>
    </row>
    <row r="35" spans="1:16" ht="12.75" customHeight="1" thickBot="1" x14ac:dyDescent="0.25">
      <c r="A35" s="12" t="str">
        <f t="shared" si="0"/>
        <v> VSS 1.111 </v>
      </c>
      <c r="B35" s="17" t="str">
        <f t="shared" si="1"/>
        <v>I</v>
      </c>
      <c r="C35" s="12">
        <f t="shared" si="2"/>
        <v>28248.37</v>
      </c>
      <c r="D35" s="15" t="str">
        <f t="shared" si="3"/>
        <v>vis</v>
      </c>
      <c r="E35" s="49">
        <f>VLOOKUP(C35,Active!C$21:E$973,3,FALSE)</f>
        <v>30.018045490164514</v>
      </c>
      <c r="F35" s="17" t="s">
        <v>75</v>
      </c>
      <c r="G35" s="15" t="str">
        <f t="shared" si="4"/>
        <v>28248.37</v>
      </c>
      <c r="H35" s="12">
        <f t="shared" si="5"/>
        <v>30</v>
      </c>
      <c r="I35" s="50" t="s">
        <v>84</v>
      </c>
      <c r="J35" s="51" t="s">
        <v>85</v>
      </c>
      <c r="K35" s="50">
        <v>30</v>
      </c>
      <c r="L35" s="50" t="s">
        <v>86</v>
      </c>
      <c r="M35" s="51" t="s">
        <v>81</v>
      </c>
      <c r="N35" s="51"/>
      <c r="O35" s="52" t="s">
        <v>82</v>
      </c>
      <c r="P35" s="52" t="s">
        <v>83</v>
      </c>
    </row>
    <row r="36" spans="1:16" ht="12.75" customHeight="1" thickBot="1" x14ac:dyDescent="0.25">
      <c r="A36" s="12" t="str">
        <f t="shared" si="0"/>
        <v> VSS 1.111 </v>
      </c>
      <c r="B36" s="17" t="str">
        <f t="shared" si="1"/>
        <v>I</v>
      </c>
      <c r="C36" s="12">
        <f t="shared" si="2"/>
        <v>28410.59</v>
      </c>
      <c r="D36" s="15" t="str">
        <f t="shared" si="3"/>
        <v>vis</v>
      </c>
      <c r="E36" s="49">
        <f>VLOOKUP(C36,Active!C$21:E$973,3,FALSE)</f>
        <v>104.99152261740805</v>
      </c>
      <c r="F36" s="17" t="s">
        <v>75</v>
      </c>
      <c r="G36" s="15" t="str">
        <f t="shared" si="4"/>
        <v>28410.59</v>
      </c>
      <c r="H36" s="12">
        <f t="shared" si="5"/>
        <v>105</v>
      </c>
      <c r="I36" s="50" t="s">
        <v>87</v>
      </c>
      <c r="J36" s="51" t="s">
        <v>88</v>
      </c>
      <c r="K36" s="50">
        <v>105</v>
      </c>
      <c r="L36" s="50" t="s">
        <v>89</v>
      </c>
      <c r="M36" s="51" t="s">
        <v>81</v>
      </c>
      <c r="N36" s="51"/>
      <c r="O36" s="52" t="s">
        <v>82</v>
      </c>
      <c r="P36" s="52" t="s">
        <v>83</v>
      </c>
    </row>
    <row r="37" spans="1:16" ht="12.75" customHeight="1" thickBot="1" x14ac:dyDescent="0.25">
      <c r="A37" s="12" t="str">
        <f t="shared" si="0"/>
        <v> VSS 1.111 </v>
      </c>
      <c r="B37" s="17" t="str">
        <f t="shared" si="1"/>
        <v>I</v>
      </c>
      <c r="C37" s="12">
        <f t="shared" si="2"/>
        <v>28845.42</v>
      </c>
      <c r="D37" s="15" t="str">
        <f t="shared" si="3"/>
        <v>vis</v>
      </c>
      <c r="E37" s="49">
        <f>VLOOKUP(C37,Active!C$21:E$973,3,FALSE)</f>
        <v>305.95759991514529</v>
      </c>
      <c r="F37" s="17" t="s">
        <v>75</v>
      </c>
      <c r="G37" s="15" t="str">
        <f t="shared" si="4"/>
        <v>28845.42</v>
      </c>
      <c r="H37" s="12">
        <f t="shared" si="5"/>
        <v>306</v>
      </c>
      <c r="I37" s="50" t="s">
        <v>90</v>
      </c>
      <c r="J37" s="51" t="s">
        <v>91</v>
      </c>
      <c r="K37" s="50">
        <v>306</v>
      </c>
      <c r="L37" s="50" t="s">
        <v>92</v>
      </c>
      <c r="M37" s="51" t="s">
        <v>81</v>
      </c>
      <c r="N37" s="51"/>
      <c r="O37" s="52" t="s">
        <v>82</v>
      </c>
      <c r="P37" s="52" t="s">
        <v>83</v>
      </c>
    </row>
    <row r="38" spans="1:16" ht="12.75" customHeight="1" thickBot="1" x14ac:dyDescent="0.25">
      <c r="A38" s="12" t="str">
        <f t="shared" si="0"/>
        <v> VSS 1.111 </v>
      </c>
      <c r="B38" s="17" t="str">
        <f t="shared" si="1"/>
        <v>I</v>
      </c>
      <c r="C38" s="12">
        <f t="shared" si="2"/>
        <v>29163.59</v>
      </c>
      <c r="D38" s="15" t="str">
        <f t="shared" si="3"/>
        <v>vis</v>
      </c>
      <c r="E38" s="49">
        <f>VLOOKUP(C38,Active!C$21:E$973,3,FALSE)</f>
        <v>453.00673823085879</v>
      </c>
      <c r="F38" s="17" t="s">
        <v>75</v>
      </c>
      <c r="G38" s="15" t="str">
        <f t="shared" si="4"/>
        <v>29163.59</v>
      </c>
      <c r="H38" s="12">
        <f t="shared" si="5"/>
        <v>453</v>
      </c>
      <c r="I38" s="50" t="s">
        <v>93</v>
      </c>
      <c r="J38" s="51" t="s">
        <v>94</v>
      </c>
      <c r="K38" s="50">
        <v>453</v>
      </c>
      <c r="L38" s="50" t="s">
        <v>95</v>
      </c>
      <c r="M38" s="51" t="s">
        <v>81</v>
      </c>
      <c r="N38" s="51"/>
      <c r="O38" s="52" t="s">
        <v>82</v>
      </c>
      <c r="P38" s="52" t="s">
        <v>83</v>
      </c>
    </row>
    <row r="39" spans="1:16" ht="12.75" customHeight="1" thickBot="1" x14ac:dyDescent="0.25">
      <c r="A39" s="12" t="str">
        <f t="shared" si="0"/>
        <v> VSS 1.111 </v>
      </c>
      <c r="B39" s="17" t="str">
        <f t="shared" si="1"/>
        <v>I</v>
      </c>
      <c r="C39" s="12">
        <f t="shared" si="2"/>
        <v>29639.59</v>
      </c>
      <c r="D39" s="15" t="str">
        <f t="shared" si="3"/>
        <v>vis</v>
      </c>
      <c r="E39" s="49">
        <f>VLOOKUP(C39,Active!C$21:E$973,3,FALSE)</f>
        <v>673.00042034507203</v>
      </c>
      <c r="F39" s="17" t="s">
        <v>75</v>
      </c>
      <c r="G39" s="15" t="str">
        <f t="shared" si="4"/>
        <v>29639.59</v>
      </c>
      <c r="H39" s="12">
        <f t="shared" si="5"/>
        <v>673</v>
      </c>
      <c r="I39" s="50" t="s">
        <v>96</v>
      </c>
      <c r="J39" s="51" t="s">
        <v>97</v>
      </c>
      <c r="K39" s="50">
        <v>673</v>
      </c>
      <c r="L39" s="50" t="s">
        <v>98</v>
      </c>
      <c r="M39" s="51" t="s">
        <v>81</v>
      </c>
      <c r="N39" s="51"/>
      <c r="O39" s="52" t="s">
        <v>82</v>
      </c>
      <c r="P39" s="52" t="s">
        <v>83</v>
      </c>
    </row>
    <row r="40" spans="1:16" ht="12.75" customHeight="1" thickBot="1" x14ac:dyDescent="0.25">
      <c r="A40" s="12" t="str">
        <f t="shared" si="0"/>
        <v> VSS 1.111 </v>
      </c>
      <c r="B40" s="17" t="str">
        <f t="shared" si="1"/>
        <v>I</v>
      </c>
      <c r="C40" s="12">
        <f t="shared" si="2"/>
        <v>29691.49</v>
      </c>
      <c r="D40" s="15" t="str">
        <f t="shared" si="3"/>
        <v>vis</v>
      </c>
      <c r="E40" s="49">
        <f>VLOOKUP(C40,Active!C$21:E$973,3,FALSE)</f>
        <v>696.98712644113914</v>
      </c>
      <c r="F40" s="17" t="s">
        <v>75</v>
      </c>
      <c r="G40" s="15" t="str">
        <f t="shared" si="4"/>
        <v>29691.49</v>
      </c>
      <c r="H40" s="12">
        <f t="shared" si="5"/>
        <v>697</v>
      </c>
      <c r="I40" s="50" t="s">
        <v>99</v>
      </c>
      <c r="J40" s="51" t="s">
        <v>100</v>
      </c>
      <c r="K40" s="50">
        <v>697</v>
      </c>
      <c r="L40" s="50" t="s">
        <v>101</v>
      </c>
      <c r="M40" s="51" t="s">
        <v>81</v>
      </c>
      <c r="N40" s="51"/>
      <c r="O40" s="52" t="s">
        <v>82</v>
      </c>
      <c r="P40" s="52" t="s">
        <v>83</v>
      </c>
    </row>
    <row r="41" spans="1:16" ht="12.75" customHeight="1" thickBot="1" x14ac:dyDescent="0.25">
      <c r="A41" s="12" t="str">
        <f t="shared" si="0"/>
        <v> VSS 1.111 </v>
      </c>
      <c r="B41" s="17" t="str">
        <f t="shared" si="1"/>
        <v>I</v>
      </c>
      <c r="C41" s="12">
        <f t="shared" si="2"/>
        <v>30260.62</v>
      </c>
      <c r="D41" s="15" t="str">
        <f t="shared" si="3"/>
        <v>vis</v>
      </c>
      <c r="E41" s="49">
        <f>VLOOKUP(C41,Active!C$21:E$973,3,FALSE)</f>
        <v>960.02284976395765</v>
      </c>
      <c r="F41" s="17" t="s">
        <v>75</v>
      </c>
      <c r="G41" s="15" t="str">
        <f t="shared" si="4"/>
        <v>30260.62</v>
      </c>
      <c r="H41" s="12">
        <f t="shared" si="5"/>
        <v>960</v>
      </c>
      <c r="I41" s="50" t="s">
        <v>102</v>
      </c>
      <c r="J41" s="51" t="s">
        <v>103</v>
      </c>
      <c r="K41" s="50">
        <v>960</v>
      </c>
      <c r="L41" s="50" t="s">
        <v>104</v>
      </c>
      <c r="M41" s="51" t="s">
        <v>81</v>
      </c>
      <c r="N41" s="51"/>
      <c r="O41" s="52" t="s">
        <v>82</v>
      </c>
      <c r="P41" s="52" t="s">
        <v>83</v>
      </c>
    </row>
    <row r="42" spans="1:16" ht="12.75" customHeight="1" thickBot="1" x14ac:dyDescent="0.25">
      <c r="A42" s="12" t="str">
        <f t="shared" si="0"/>
        <v> VSS 1.111 </v>
      </c>
      <c r="B42" s="17" t="str">
        <f t="shared" si="1"/>
        <v>I</v>
      </c>
      <c r="C42" s="12">
        <f t="shared" si="2"/>
        <v>30375.27</v>
      </c>
      <c r="D42" s="15" t="str">
        <f t="shared" si="3"/>
        <v>vis</v>
      </c>
      <c r="E42" s="49">
        <f>VLOOKUP(C42,Active!C$21:E$973,3,FALSE)</f>
        <v>1013.0108238278124</v>
      </c>
      <c r="F42" s="17" t="s">
        <v>75</v>
      </c>
      <c r="G42" s="15" t="str">
        <f t="shared" si="4"/>
        <v>30375.27</v>
      </c>
      <c r="H42" s="12">
        <f t="shared" si="5"/>
        <v>1013</v>
      </c>
      <c r="I42" s="50" t="s">
        <v>105</v>
      </c>
      <c r="J42" s="51" t="s">
        <v>106</v>
      </c>
      <c r="K42" s="50">
        <v>1013</v>
      </c>
      <c r="L42" s="50" t="s">
        <v>107</v>
      </c>
      <c r="M42" s="51" t="s">
        <v>81</v>
      </c>
      <c r="N42" s="51"/>
      <c r="O42" s="52" t="s">
        <v>82</v>
      </c>
      <c r="P42" s="52" t="s">
        <v>83</v>
      </c>
    </row>
    <row r="43" spans="1:16" ht="12.75" customHeight="1" thickBot="1" x14ac:dyDescent="0.25">
      <c r="A43" s="12" t="str">
        <f t="shared" si="0"/>
        <v> VSS 1.111 </v>
      </c>
      <c r="B43" s="17" t="str">
        <f t="shared" si="1"/>
        <v>I</v>
      </c>
      <c r="C43" s="12">
        <f t="shared" si="2"/>
        <v>31145.52</v>
      </c>
      <c r="D43" s="15" t="str">
        <f t="shared" si="3"/>
        <v>vis</v>
      </c>
      <c r="E43" s="49">
        <f>VLOOKUP(C43,Active!C$21:E$973,3,FALSE)</f>
        <v>1368.9984995598979</v>
      </c>
      <c r="F43" s="17" t="s">
        <v>75</v>
      </c>
      <c r="G43" s="15" t="str">
        <f t="shared" si="4"/>
        <v>31145.52</v>
      </c>
      <c r="H43" s="12">
        <f t="shared" si="5"/>
        <v>1369</v>
      </c>
      <c r="I43" s="50" t="s">
        <v>108</v>
      </c>
      <c r="J43" s="51" t="s">
        <v>109</v>
      </c>
      <c r="K43" s="50">
        <v>1369</v>
      </c>
      <c r="L43" s="50" t="s">
        <v>110</v>
      </c>
      <c r="M43" s="51" t="s">
        <v>81</v>
      </c>
      <c r="N43" s="51"/>
      <c r="O43" s="52" t="s">
        <v>82</v>
      </c>
      <c r="P43" s="52" t="s">
        <v>83</v>
      </c>
    </row>
    <row r="44" spans="1:16" ht="12.75" customHeight="1" thickBot="1" x14ac:dyDescent="0.25">
      <c r="A44" s="12" t="str">
        <f t="shared" si="0"/>
        <v> BBS 46 </v>
      </c>
      <c r="B44" s="17" t="str">
        <f t="shared" si="1"/>
        <v>I</v>
      </c>
      <c r="C44" s="12">
        <f t="shared" si="2"/>
        <v>44294.328000000001</v>
      </c>
      <c r="D44" s="15" t="str">
        <f t="shared" si="3"/>
        <v>vis</v>
      </c>
      <c r="E44" s="49">
        <f>VLOOKUP(C44,Active!C$21:E$973,3,FALSE)</f>
        <v>7446.0041452170908</v>
      </c>
      <c r="F44" s="17" t="s">
        <v>75</v>
      </c>
      <c r="G44" s="15" t="str">
        <f t="shared" si="4"/>
        <v>44294.328</v>
      </c>
      <c r="H44" s="12">
        <f t="shared" si="5"/>
        <v>7446</v>
      </c>
      <c r="I44" s="50" t="s">
        <v>131</v>
      </c>
      <c r="J44" s="51" t="s">
        <v>132</v>
      </c>
      <c r="K44" s="50">
        <v>7446</v>
      </c>
      <c r="L44" s="50" t="s">
        <v>133</v>
      </c>
      <c r="M44" s="51" t="s">
        <v>114</v>
      </c>
      <c r="N44" s="51"/>
      <c r="O44" s="52" t="s">
        <v>125</v>
      </c>
      <c r="P44" s="52" t="s">
        <v>134</v>
      </c>
    </row>
    <row r="45" spans="1:16" ht="12.75" customHeight="1" thickBot="1" x14ac:dyDescent="0.25">
      <c r="A45" s="12" t="str">
        <f t="shared" si="0"/>
        <v> BRNO 28 </v>
      </c>
      <c r="B45" s="17" t="str">
        <f t="shared" si="1"/>
        <v>I</v>
      </c>
      <c r="C45" s="12">
        <f t="shared" si="2"/>
        <v>46769.591999999997</v>
      </c>
      <c r="D45" s="15" t="str">
        <f t="shared" si="3"/>
        <v>vis</v>
      </c>
      <c r="E45" s="49">
        <f>VLOOKUP(C45,Active!C$21:E$973,3,FALSE)</f>
        <v>8590.0008711934661</v>
      </c>
      <c r="F45" s="17" t="s">
        <v>75</v>
      </c>
      <c r="G45" s="15" t="str">
        <f t="shared" si="4"/>
        <v>46769.592</v>
      </c>
      <c r="H45" s="12">
        <f t="shared" si="5"/>
        <v>8590</v>
      </c>
      <c r="I45" s="50" t="s">
        <v>152</v>
      </c>
      <c r="J45" s="51" t="s">
        <v>153</v>
      </c>
      <c r="K45" s="50">
        <v>8590</v>
      </c>
      <c r="L45" s="50" t="s">
        <v>154</v>
      </c>
      <c r="M45" s="51" t="s">
        <v>114</v>
      </c>
      <c r="N45" s="51"/>
      <c r="O45" s="52" t="s">
        <v>155</v>
      </c>
      <c r="P45" s="52" t="s">
        <v>156</v>
      </c>
    </row>
    <row r="46" spans="1:16" ht="12.75" customHeight="1" thickBot="1" x14ac:dyDescent="0.25">
      <c r="A46" s="12" t="str">
        <f t="shared" si="0"/>
        <v> BRNO 30 </v>
      </c>
      <c r="B46" s="17" t="str">
        <f t="shared" si="1"/>
        <v>I</v>
      </c>
      <c r="C46" s="12">
        <f t="shared" si="2"/>
        <v>47470.633000000002</v>
      </c>
      <c r="D46" s="15" t="str">
        <f t="shared" si="3"/>
        <v>vis</v>
      </c>
      <c r="E46" s="49">
        <f>VLOOKUP(C46,Active!C$21:E$973,3,FALSE)</f>
        <v>8914.0021125863896</v>
      </c>
      <c r="F46" s="17" t="s">
        <v>75</v>
      </c>
      <c r="G46" s="15" t="str">
        <f t="shared" si="4"/>
        <v>47470.633</v>
      </c>
      <c r="H46" s="12">
        <f t="shared" si="5"/>
        <v>8914</v>
      </c>
      <c r="I46" s="50" t="s">
        <v>161</v>
      </c>
      <c r="J46" s="51" t="s">
        <v>162</v>
      </c>
      <c r="K46" s="50">
        <v>8914</v>
      </c>
      <c r="L46" s="50" t="s">
        <v>124</v>
      </c>
      <c r="M46" s="51" t="s">
        <v>114</v>
      </c>
      <c r="N46" s="51"/>
      <c r="O46" s="52" t="s">
        <v>163</v>
      </c>
      <c r="P46" s="52" t="s">
        <v>164</v>
      </c>
    </row>
    <row r="47" spans="1:16" ht="12.75" customHeight="1" thickBot="1" x14ac:dyDescent="0.25">
      <c r="A47" s="12" t="str">
        <f t="shared" si="0"/>
        <v> BRNO 30 </v>
      </c>
      <c r="B47" s="17" t="str">
        <f t="shared" si="1"/>
        <v>I</v>
      </c>
      <c r="C47" s="12">
        <f t="shared" si="2"/>
        <v>47470.633999999998</v>
      </c>
      <c r="D47" s="15" t="str">
        <f t="shared" si="3"/>
        <v>vis</v>
      </c>
      <c r="E47" s="49">
        <f>VLOOKUP(C47,Active!C$21:E$973,3,FALSE)</f>
        <v>8914.0025747579894</v>
      </c>
      <c r="F47" s="17" t="s">
        <v>75</v>
      </c>
      <c r="G47" s="15" t="str">
        <f t="shared" si="4"/>
        <v>47470.634</v>
      </c>
      <c r="H47" s="12">
        <f t="shared" si="5"/>
        <v>8914</v>
      </c>
      <c r="I47" s="50" t="s">
        <v>165</v>
      </c>
      <c r="J47" s="51" t="s">
        <v>166</v>
      </c>
      <c r="K47" s="50">
        <v>8914</v>
      </c>
      <c r="L47" s="50" t="s">
        <v>167</v>
      </c>
      <c r="M47" s="51" t="s">
        <v>114</v>
      </c>
      <c r="N47" s="51"/>
      <c r="O47" s="52" t="s">
        <v>168</v>
      </c>
      <c r="P47" s="52" t="s">
        <v>164</v>
      </c>
    </row>
    <row r="48" spans="1:16" ht="12.75" customHeight="1" thickBot="1" x14ac:dyDescent="0.25">
      <c r="A48" s="12" t="str">
        <f t="shared" si="0"/>
        <v>BAVM 56 </v>
      </c>
      <c r="B48" s="17" t="str">
        <f t="shared" si="1"/>
        <v>I</v>
      </c>
      <c r="C48" s="12">
        <f t="shared" si="2"/>
        <v>47825.474000000002</v>
      </c>
      <c r="D48" s="15" t="str">
        <f t="shared" si="3"/>
        <v>vis</v>
      </c>
      <c r="E48" s="49">
        <f>VLOOKUP(C48,Active!C$21:E$973,3,FALSE)</f>
        <v>9077.9995456853176</v>
      </c>
      <c r="F48" s="17" t="s">
        <v>75</v>
      </c>
      <c r="G48" s="15" t="str">
        <f t="shared" si="4"/>
        <v>47825.474</v>
      </c>
      <c r="H48" s="12">
        <f t="shared" si="5"/>
        <v>9078</v>
      </c>
      <c r="I48" s="50" t="s">
        <v>173</v>
      </c>
      <c r="J48" s="51" t="s">
        <v>174</v>
      </c>
      <c r="K48" s="50">
        <v>9078</v>
      </c>
      <c r="L48" s="50" t="s">
        <v>144</v>
      </c>
      <c r="M48" s="51" t="s">
        <v>77</v>
      </c>
      <c r="N48" s="51"/>
      <c r="O48" s="52" t="s">
        <v>175</v>
      </c>
      <c r="P48" s="53" t="s">
        <v>176</v>
      </c>
    </row>
    <row r="49" spans="1:16" ht="12.75" customHeight="1" thickBot="1" x14ac:dyDescent="0.25">
      <c r="A49" s="12" t="str">
        <f t="shared" si="0"/>
        <v>BAVM 56 </v>
      </c>
      <c r="B49" s="17" t="str">
        <f t="shared" si="1"/>
        <v>I</v>
      </c>
      <c r="C49" s="12">
        <f t="shared" si="2"/>
        <v>47970.442999999999</v>
      </c>
      <c r="D49" s="15" t="str">
        <f t="shared" si="3"/>
        <v>vis</v>
      </c>
      <c r="E49" s="49">
        <f>VLOOKUP(C49,Active!C$21:E$973,3,FALSE)</f>
        <v>9145.0001005223221</v>
      </c>
      <c r="F49" s="17" t="s">
        <v>75</v>
      </c>
      <c r="G49" s="15" t="str">
        <f t="shared" si="4"/>
        <v>47970.443</v>
      </c>
      <c r="H49" s="12">
        <f t="shared" si="5"/>
        <v>9145</v>
      </c>
      <c r="I49" s="50" t="s">
        <v>181</v>
      </c>
      <c r="J49" s="51" t="s">
        <v>182</v>
      </c>
      <c r="K49" s="50">
        <v>9145</v>
      </c>
      <c r="L49" s="50" t="s">
        <v>183</v>
      </c>
      <c r="M49" s="51" t="s">
        <v>77</v>
      </c>
      <c r="N49" s="51"/>
      <c r="O49" s="52" t="s">
        <v>175</v>
      </c>
      <c r="P49" s="53" t="s">
        <v>176</v>
      </c>
    </row>
    <row r="50" spans="1:16" ht="12.75" customHeight="1" thickBot="1" x14ac:dyDescent="0.25">
      <c r="A50" s="12" t="str">
        <f t="shared" si="0"/>
        <v> BRNO 31 </v>
      </c>
      <c r="B50" s="17" t="str">
        <f t="shared" si="1"/>
        <v>I</v>
      </c>
      <c r="C50" s="12">
        <f t="shared" si="2"/>
        <v>48619.55</v>
      </c>
      <c r="D50" s="15" t="str">
        <f t="shared" si="3"/>
        <v>vis</v>
      </c>
      <c r="E50" s="49">
        <f>VLOOKUP(C50,Active!C$21:E$973,3,FALSE)</f>
        <v>9444.9989219847412</v>
      </c>
      <c r="F50" s="17" t="s">
        <v>75</v>
      </c>
      <c r="G50" s="15" t="str">
        <f t="shared" si="4"/>
        <v>48619.550</v>
      </c>
      <c r="H50" s="12">
        <f t="shared" si="5"/>
        <v>9445</v>
      </c>
      <c r="I50" s="50" t="s">
        <v>184</v>
      </c>
      <c r="J50" s="51" t="s">
        <v>185</v>
      </c>
      <c r="K50" s="50">
        <v>9445</v>
      </c>
      <c r="L50" s="50" t="s">
        <v>186</v>
      </c>
      <c r="M50" s="51" t="s">
        <v>114</v>
      </c>
      <c r="N50" s="51"/>
      <c r="O50" s="52" t="s">
        <v>155</v>
      </c>
      <c r="P50" s="52" t="s">
        <v>187</v>
      </c>
    </row>
    <row r="51" spans="1:16" ht="12.75" customHeight="1" thickBot="1" x14ac:dyDescent="0.25">
      <c r="A51" s="12" t="str">
        <f t="shared" si="0"/>
        <v> BRNO 32 </v>
      </c>
      <c r="B51" s="17" t="str">
        <f t="shared" si="1"/>
        <v>I</v>
      </c>
      <c r="C51" s="12">
        <f t="shared" si="2"/>
        <v>50482.4931</v>
      </c>
      <c r="D51" s="15" t="str">
        <f t="shared" si="3"/>
        <v>vis</v>
      </c>
      <c r="E51" s="49">
        <f>VLOOKUP(C51,Active!C$21:E$973,3,FALSE)</f>
        <v>10305.998317233199</v>
      </c>
      <c r="F51" s="17" t="s">
        <v>75</v>
      </c>
      <c r="G51" s="15" t="str">
        <f t="shared" si="4"/>
        <v>50482.4931</v>
      </c>
      <c r="H51" s="12">
        <f t="shared" si="5"/>
        <v>10306</v>
      </c>
      <c r="I51" s="50" t="s">
        <v>194</v>
      </c>
      <c r="J51" s="51" t="s">
        <v>195</v>
      </c>
      <c r="K51" s="50">
        <v>10306</v>
      </c>
      <c r="L51" s="50" t="s">
        <v>196</v>
      </c>
      <c r="M51" s="51" t="s">
        <v>191</v>
      </c>
      <c r="N51" s="51" t="s">
        <v>192</v>
      </c>
      <c r="O51" s="52" t="s">
        <v>168</v>
      </c>
      <c r="P51" s="52" t="s">
        <v>197</v>
      </c>
    </row>
    <row r="52" spans="1:16" ht="12.75" customHeight="1" thickBot="1" x14ac:dyDescent="0.25">
      <c r="A52" s="12" t="str">
        <f t="shared" si="0"/>
        <v> BBS 119 </v>
      </c>
      <c r="B52" s="17" t="str">
        <f t="shared" si="1"/>
        <v>I</v>
      </c>
      <c r="C52" s="12">
        <f t="shared" si="2"/>
        <v>51103.468999999997</v>
      </c>
      <c r="D52" s="15" t="str">
        <f t="shared" si="3"/>
        <v>vis</v>
      </c>
      <c r="E52" s="49">
        <f>VLOOKUP(C52,Active!C$21:E$973,3,FALSE)</f>
        <v>10592.995743168467</v>
      </c>
      <c r="F52" s="17" t="s">
        <v>75</v>
      </c>
      <c r="G52" s="15" t="str">
        <f t="shared" si="4"/>
        <v>51103.469</v>
      </c>
      <c r="H52" s="12">
        <f t="shared" si="5"/>
        <v>10593</v>
      </c>
      <c r="I52" s="50" t="s">
        <v>198</v>
      </c>
      <c r="J52" s="51" t="s">
        <v>199</v>
      </c>
      <c r="K52" s="50">
        <v>10593</v>
      </c>
      <c r="L52" s="50" t="s">
        <v>200</v>
      </c>
      <c r="M52" s="51" t="s">
        <v>114</v>
      </c>
      <c r="N52" s="51"/>
      <c r="O52" s="52" t="s">
        <v>125</v>
      </c>
      <c r="P52" s="52" t="s">
        <v>201</v>
      </c>
    </row>
    <row r="53" spans="1:16" ht="12.75" customHeight="1" thickBot="1" x14ac:dyDescent="0.25">
      <c r="A53" s="12" t="str">
        <f t="shared" si="0"/>
        <v> BBS 122 </v>
      </c>
      <c r="B53" s="17" t="str">
        <f t="shared" si="1"/>
        <v>I</v>
      </c>
      <c r="C53" s="12">
        <f t="shared" si="2"/>
        <v>51603.292999999998</v>
      </c>
      <c r="D53" s="15" t="str">
        <f t="shared" si="3"/>
        <v>vis</v>
      </c>
      <c r="E53" s="49">
        <f>VLOOKUP(C53,Active!C$21:E$973,3,FALSE)</f>
        <v>10824.000201506817</v>
      </c>
      <c r="F53" s="17" t="s">
        <v>75</v>
      </c>
      <c r="G53" s="15" t="str">
        <f t="shared" si="4"/>
        <v>51603.293</v>
      </c>
      <c r="H53" s="12">
        <f t="shared" si="5"/>
        <v>10824</v>
      </c>
      <c r="I53" s="50" t="s">
        <v>202</v>
      </c>
      <c r="J53" s="51" t="s">
        <v>203</v>
      </c>
      <c r="K53" s="50">
        <v>10824</v>
      </c>
      <c r="L53" s="50" t="s">
        <v>183</v>
      </c>
      <c r="M53" s="51" t="s">
        <v>114</v>
      </c>
      <c r="N53" s="51"/>
      <c r="O53" s="52" t="s">
        <v>125</v>
      </c>
      <c r="P53" s="52" t="s">
        <v>204</v>
      </c>
    </row>
    <row r="54" spans="1:16" ht="12.75" customHeight="1" thickBot="1" x14ac:dyDescent="0.25">
      <c r="A54" s="12" t="str">
        <f t="shared" si="0"/>
        <v> BBS 124 </v>
      </c>
      <c r="B54" s="17" t="str">
        <f t="shared" si="1"/>
        <v>I</v>
      </c>
      <c r="C54" s="12">
        <f t="shared" si="2"/>
        <v>51910.525000000001</v>
      </c>
      <c r="D54" s="15" t="str">
        <f t="shared" si="3"/>
        <v>vis</v>
      </c>
      <c r="E54" s="49">
        <f>VLOOKUP(C54,Active!C$21:E$973,3,FALSE)</f>
        <v>10965.994106849916</v>
      </c>
      <c r="F54" s="17" t="s">
        <v>75</v>
      </c>
      <c r="G54" s="15" t="str">
        <f t="shared" si="4"/>
        <v>51910.525</v>
      </c>
      <c r="H54" s="12">
        <f t="shared" si="5"/>
        <v>10966</v>
      </c>
      <c r="I54" s="50" t="s">
        <v>205</v>
      </c>
      <c r="J54" s="51" t="s">
        <v>206</v>
      </c>
      <c r="K54" s="50">
        <v>10966</v>
      </c>
      <c r="L54" s="50" t="s">
        <v>207</v>
      </c>
      <c r="M54" s="51" t="s">
        <v>114</v>
      </c>
      <c r="N54" s="51"/>
      <c r="O54" s="52" t="s">
        <v>125</v>
      </c>
      <c r="P54" s="52" t="s">
        <v>208</v>
      </c>
    </row>
    <row r="55" spans="1:16" ht="12.75" customHeight="1" thickBot="1" x14ac:dyDescent="0.25">
      <c r="A55" s="12" t="str">
        <f t="shared" si="0"/>
        <v> BBS 126 </v>
      </c>
      <c r="B55" s="17" t="str">
        <f t="shared" si="1"/>
        <v>I</v>
      </c>
      <c r="C55" s="12">
        <f t="shared" si="2"/>
        <v>52202.637000000002</v>
      </c>
      <c r="D55" s="15" t="str">
        <f t="shared" si="3"/>
        <v>vis</v>
      </c>
      <c r="E55" s="49">
        <f>VLOOKUP(C55,Active!C$21:E$973,3,FALSE)</f>
        <v>11100.999977584679</v>
      </c>
      <c r="F55" s="17" t="s">
        <v>75</v>
      </c>
      <c r="G55" s="15" t="str">
        <f t="shared" si="4"/>
        <v>52202.637</v>
      </c>
      <c r="H55" s="12">
        <f t="shared" si="5"/>
        <v>11101</v>
      </c>
      <c r="I55" s="50" t="s">
        <v>209</v>
      </c>
      <c r="J55" s="51" t="s">
        <v>210</v>
      </c>
      <c r="K55" s="50">
        <v>11101</v>
      </c>
      <c r="L55" s="50" t="s">
        <v>211</v>
      </c>
      <c r="M55" s="51" t="s">
        <v>114</v>
      </c>
      <c r="N55" s="51"/>
      <c r="O55" s="52" t="s">
        <v>125</v>
      </c>
      <c r="P55" s="52" t="s">
        <v>212</v>
      </c>
    </row>
    <row r="56" spans="1:16" x14ac:dyDescent="0.2">
      <c r="B56" s="17"/>
      <c r="E56" s="49"/>
      <c r="F56" s="17"/>
    </row>
    <row r="57" spans="1:16" x14ac:dyDescent="0.2">
      <c r="B57" s="17"/>
      <c r="E57" s="49"/>
      <c r="F57" s="17"/>
    </row>
    <row r="58" spans="1:16" x14ac:dyDescent="0.2">
      <c r="B58" s="17"/>
      <c r="E58" s="49"/>
      <c r="F58" s="17"/>
    </row>
    <row r="59" spans="1:16" x14ac:dyDescent="0.2">
      <c r="B59" s="17"/>
      <c r="E59" s="49"/>
      <c r="F59" s="17"/>
    </row>
    <row r="60" spans="1:16" x14ac:dyDescent="0.2">
      <c r="B60" s="17"/>
      <c r="E60" s="49"/>
      <c r="F60" s="17"/>
    </row>
    <row r="61" spans="1:16" x14ac:dyDescent="0.2">
      <c r="B61" s="17"/>
      <c r="E61" s="49"/>
      <c r="F61" s="17"/>
    </row>
    <row r="62" spans="1:16" x14ac:dyDescent="0.2">
      <c r="B62" s="17"/>
      <c r="E62" s="49"/>
      <c r="F62" s="17"/>
    </row>
    <row r="63" spans="1:16" x14ac:dyDescent="0.2">
      <c r="B63" s="17"/>
      <c r="E63" s="49"/>
      <c r="F63" s="17"/>
    </row>
    <row r="64" spans="1:16" x14ac:dyDescent="0.2">
      <c r="B64" s="17"/>
      <c r="E64" s="49"/>
      <c r="F64" s="17"/>
    </row>
    <row r="65" spans="2:6" x14ac:dyDescent="0.2">
      <c r="B65" s="17"/>
      <c r="E65" s="49"/>
      <c r="F65" s="17"/>
    </row>
    <row r="66" spans="2:6" x14ac:dyDescent="0.2">
      <c r="B66" s="17"/>
      <c r="E66" s="49"/>
      <c r="F66" s="17"/>
    </row>
    <row r="67" spans="2:6" x14ac:dyDescent="0.2">
      <c r="B67" s="17"/>
      <c r="E67" s="49"/>
      <c r="F67" s="17"/>
    </row>
    <row r="68" spans="2:6" x14ac:dyDescent="0.2">
      <c r="B68" s="17"/>
      <c r="E68" s="49"/>
      <c r="F68" s="17"/>
    </row>
    <row r="69" spans="2:6" x14ac:dyDescent="0.2">
      <c r="B69" s="17"/>
      <c r="E69" s="49"/>
      <c r="F69" s="17"/>
    </row>
    <row r="70" spans="2:6" x14ac:dyDescent="0.2">
      <c r="B70" s="17"/>
      <c r="E70" s="49"/>
      <c r="F70" s="17"/>
    </row>
    <row r="71" spans="2:6" x14ac:dyDescent="0.2">
      <c r="B71" s="17"/>
      <c r="E71" s="49"/>
      <c r="F71" s="17"/>
    </row>
    <row r="72" spans="2:6" x14ac:dyDescent="0.2">
      <c r="B72" s="17"/>
      <c r="E72" s="49"/>
      <c r="F72" s="17"/>
    </row>
    <row r="73" spans="2:6" x14ac:dyDescent="0.2">
      <c r="B73" s="17"/>
      <c r="F73" s="17"/>
    </row>
    <row r="74" spans="2:6" x14ac:dyDescent="0.2">
      <c r="B74" s="17"/>
      <c r="F74" s="17"/>
    </row>
    <row r="75" spans="2:6" x14ac:dyDescent="0.2">
      <c r="B75" s="17"/>
      <c r="F75" s="17"/>
    </row>
    <row r="76" spans="2:6" x14ac:dyDescent="0.2">
      <c r="B76" s="17"/>
      <c r="F76" s="17"/>
    </row>
    <row r="77" spans="2:6" x14ac:dyDescent="0.2">
      <c r="B77" s="17"/>
      <c r="F77" s="17"/>
    </row>
    <row r="78" spans="2:6" x14ac:dyDescent="0.2">
      <c r="B78" s="17"/>
      <c r="F78" s="17"/>
    </row>
    <row r="79" spans="2:6" x14ac:dyDescent="0.2">
      <c r="B79" s="17"/>
      <c r="F79" s="17"/>
    </row>
    <row r="80" spans="2: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</sheetData>
  <phoneticPr fontId="7" type="noConversion"/>
  <hyperlinks>
    <hyperlink ref="P48" r:id="rId1" display="http://www.bav-astro.de/sfs/BAVM_link.php?BAVMnr=56" xr:uid="{00000000-0004-0000-0100-000000000000}"/>
    <hyperlink ref="P49" r:id="rId2" display="http://www.bav-astro.de/sfs/BAVM_link.php?BAVMnr=56" xr:uid="{00000000-0004-0000-0100-000001000000}"/>
    <hyperlink ref="P23" r:id="rId3" display="http://www.konkoly.hu/cgi-bin/IBVS?3877" xr:uid="{00000000-0004-0000-0100-000002000000}"/>
    <hyperlink ref="P24" r:id="rId4" display="http://var.astro.cz/oejv/issues/oejv0003.pdf" xr:uid="{00000000-0004-0000-0100-000003000000}"/>
    <hyperlink ref="P25" r:id="rId5" display="http://www.bav-astro.de/sfs/BAVM_link.php?BAVMnr=183" xr:uid="{00000000-0004-0000-0100-000004000000}"/>
    <hyperlink ref="P26" r:id="rId6" display="http://www.bav-astro.de/sfs/BAVM_link.php?BAVMnr=186" xr:uid="{00000000-0004-0000-0100-000005000000}"/>
    <hyperlink ref="P27" r:id="rId7" display="http://www.bav-astro.de/sfs/BAVM_link.php?BAVMnr=209" xr:uid="{00000000-0004-0000-0100-000006000000}"/>
    <hyperlink ref="P28" r:id="rId8" display="http://var.astro.cz/oejv/issues/oejv0160.pdf" xr:uid="{00000000-0004-0000-0100-000007000000}"/>
    <hyperlink ref="P29" r:id="rId9" display="http://var.astro.cz/oejv/issues/oejv0160.pdf" xr:uid="{00000000-0004-0000-0100-000008000000}"/>
    <hyperlink ref="P30" r:id="rId10" display="http://www.konkoly.hu/cgi-bin/IBVS?6011" xr:uid="{00000000-0004-0000-0100-000009000000}"/>
    <hyperlink ref="P31" r:id="rId11" display="http://var.astro.cz/oejv/issues/oejv0160.pdf" xr:uid="{00000000-0004-0000-0100-00000A000000}"/>
    <hyperlink ref="P32" r:id="rId12" display="http://var.astro.cz/oejv/issues/oejv0160.pdf" xr:uid="{00000000-0004-0000-0100-00000B000000}"/>
    <hyperlink ref="P33" r:id="rId13" display="http://www.bav-astro.de/sfs/BAVM_link.php?BAVMnr=234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2023-12-30T04:07:20Z</dcterms:modified>
</cp:coreProperties>
</file>