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05257C7-31FC-4A46-96B6-E7F62586891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69" i="1" l="1"/>
  <c r="E68" i="1"/>
  <c r="F68" i="1"/>
  <c r="G68" i="1"/>
  <c r="K68" i="1"/>
  <c r="Q68" i="1"/>
  <c r="E69" i="1"/>
  <c r="G69" i="1"/>
  <c r="K69" i="1"/>
  <c r="Q69" i="1"/>
  <c r="Q67" i="1"/>
  <c r="Q66" i="1"/>
  <c r="C7" i="1"/>
  <c r="E67" i="1"/>
  <c r="F67" i="1"/>
  <c r="C8" i="1"/>
  <c r="E42" i="1"/>
  <c r="F42" i="1"/>
  <c r="G42" i="1"/>
  <c r="I42" i="1"/>
  <c r="E25" i="1"/>
  <c r="F25" i="1"/>
  <c r="E26" i="1"/>
  <c r="F26" i="1"/>
  <c r="E29" i="1"/>
  <c r="F29" i="1"/>
  <c r="E31" i="1"/>
  <c r="F31" i="1"/>
  <c r="E34" i="1"/>
  <c r="F34" i="1"/>
  <c r="E37" i="1"/>
  <c r="F37" i="1"/>
  <c r="E39" i="1"/>
  <c r="F39" i="1"/>
  <c r="E44" i="1"/>
  <c r="F44" i="1"/>
  <c r="E47" i="1"/>
  <c r="F47" i="1"/>
  <c r="E49" i="1"/>
  <c r="F49" i="1"/>
  <c r="E52" i="1"/>
  <c r="F52" i="1"/>
  <c r="D9" i="1"/>
  <c r="C9" i="1"/>
  <c r="Q56" i="1"/>
  <c r="Q53" i="1"/>
  <c r="Q52" i="1"/>
  <c r="Q51" i="1"/>
  <c r="Q50" i="1"/>
  <c r="Q49" i="1"/>
  <c r="Q48" i="1"/>
  <c r="Q47" i="1"/>
  <c r="Q46" i="1"/>
  <c r="Q45" i="1"/>
  <c r="Q44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G22" i="2"/>
  <c r="C22" i="2"/>
  <c r="G21" i="2"/>
  <c r="C21" i="2"/>
  <c r="G20" i="2"/>
  <c r="C20" i="2"/>
  <c r="G19" i="2"/>
  <c r="C19" i="2"/>
  <c r="E19" i="2"/>
  <c r="G54" i="2"/>
  <c r="C54" i="2"/>
  <c r="E54" i="2"/>
  <c r="G18" i="2"/>
  <c r="C18" i="2"/>
  <c r="G17" i="2"/>
  <c r="C17" i="2"/>
  <c r="G16" i="2"/>
  <c r="C16" i="2"/>
  <c r="G15" i="2"/>
  <c r="C15" i="2"/>
  <c r="E15" i="2"/>
  <c r="G53" i="2"/>
  <c r="C53" i="2"/>
  <c r="G14" i="2"/>
  <c r="C14" i="2"/>
  <c r="G13" i="2"/>
  <c r="C13" i="2"/>
  <c r="E13" i="2"/>
  <c r="G52" i="2"/>
  <c r="C52" i="2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E43" i="2"/>
  <c r="G12" i="2"/>
  <c r="C12" i="2"/>
  <c r="G11" i="2"/>
  <c r="C11" i="2"/>
  <c r="E11" i="2"/>
  <c r="G42" i="2"/>
  <c r="C42" i="2"/>
  <c r="G41" i="2"/>
  <c r="C41" i="2"/>
  <c r="E41" i="2"/>
  <c r="G40" i="2"/>
  <c r="C40" i="2"/>
  <c r="E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E30" i="2"/>
  <c r="G29" i="2"/>
  <c r="C29" i="2"/>
  <c r="E29" i="2"/>
  <c r="G28" i="2"/>
  <c r="C28" i="2"/>
  <c r="G27" i="2"/>
  <c r="C27" i="2"/>
  <c r="E27" i="2"/>
  <c r="G26" i="2"/>
  <c r="C26" i="2"/>
  <c r="E26" i="2"/>
  <c r="G25" i="2"/>
  <c r="C25" i="2"/>
  <c r="G24" i="2"/>
  <c r="C24" i="2"/>
  <c r="G23" i="2"/>
  <c r="C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54" i="2"/>
  <c r="B54" i="2"/>
  <c r="D54" i="2"/>
  <c r="A54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53" i="2"/>
  <c r="B53" i="2"/>
  <c r="D53" i="2"/>
  <c r="A53" i="2"/>
  <c r="H14" i="2"/>
  <c r="B14" i="2"/>
  <c r="D14" i="2"/>
  <c r="A14" i="2"/>
  <c r="H13" i="2"/>
  <c r="B13" i="2"/>
  <c r="D13" i="2"/>
  <c r="A1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12" i="2"/>
  <c r="B12" i="2"/>
  <c r="D12" i="2"/>
  <c r="A12" i="2"/>
  <c r="H11" i="2"/>
  <c r="B11" i="2"/>
  <c r="D11" i="2"/>
  <c r="A11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Q65" i="1"/>
  <c r="Q63" i="1"/>
  <c r="Q64" i="1"/>
  <c r="Q61" i="1"/>
  <c r="F16" i="1"/>
  <c r="F17" i="1" s="1"/>
  <c r="C17" i="1"/>
  <c r="Q62" i="1"/>
  <c r="Q59" i="1"/>
  <c r="Q60" i="1"/>
  <c r="Q58" i="1"/>
  <c r="Q54" i="1"/>
  <c r="Q42" i="1"/>
  <c r="Q43" i="1"/>
  <c r="Q55" i="1"/>
  <c r="Q57" i="1"/>
  <c r="Q24" i="1"/>
  <c r="E28" i="1"/>
  <c r="E36" i="1"/>
  <c r="E37" i="2"/>
  <c r="E54" i="1"/>
  <c r="F54" i="1"/>
  <c r="G54" i="1"/>
  <c r="K54" i="1"/>
  <c r="E57" i="1"/>
  <c r="E40" i="1"/>
  <c r="F40" i="1"/>
  <c r="G40" i="1"/>
  <c r="I40" i="1"/>
  <c r="E61" i="1"/>
  <c r="F61" i="1"/>
  <c r="G61" i="1"/>
  <c r="K61" i="1"/>
  <c r="E62" i="1"/>
  <c r="F62" i="1"/>
  <c r="G62" i="1"/>
  <c r="K62" i="1"/>
  <c r="F57" i="1"/>
  <c r="G57" i="1"/>
  <c r="I57" i="1"/>
  <c r="E50" i="1"/>
  <c r="F50" i="1"/>
  <c r="G50" i="1"/>
  <c r="I50" i="1"/>
  <c r="E46" i="1"/>
  <c r="F46" i="1"/>
  <c r="G46" i="1"/>
  <c r="I46" i="1"/>
  <c r="F36" i="1"/>
  <c r="G36" i="1"/>
  <c r="I36" i="1"/>
  <c r="E32" i="1"/>
  <c r="F32" i="1"/>
  <c r="G32" i="1"/>
  <c r="I32" i="1"/>
  <c r="F28" i="1"/>
  <c r="G28" i="1"/>
  <c r="I28" i="1"/>
  <c r="E34" i="2"/>
  <c r="E36" i="2"/>
  <c r="E21" i="2"/>
  <c r="E22" i="2"/>
  <c r="E38" i="2"/>
  <c r="E32" i="2"/>
  <c r="E23" i="1"/>
  <c r="F23" i="1"/>
  <c r="G23" i="1"/>
  <c r="I23" i="1"/>
  <c r="E56" i="1"/>
  <c r="F56" i="1"/>
  <c r="G56" i="1"/>
  <c r="J56" i="1"/>
  <c r="E21" i="1"/>
  <c r="F21" i="1"/>
  <c r="G21" i="1"/>
  <c r="E65" i="1"/>
  <c r="F65" i="1"/>
  <c r="G65" i="1"/>
  <c r="J65" i="1"/>
  <c r="E63" i="1"/>
  <c r="F63" i="1"/>
  <c r="G63" i="1"/>
  <c r="J63" i="1"/>
  <c r="E59" i="1"/>
  <c r="F59" i="1"/>
  <c r="G59" i="1"/>
  <c r="K59" i="1"/>
  <c r="E24" i="1"/>
  <c r="F24" i="1"/>
  <c r="G24" i="1"/>
  <c r="H24" i="1"/>
  <c r="E35" i="2"/>
  <c r="E53" i="1"/>
  <c r="F53" i="1"/>
  <c r="G53" i="1"/>
  <c r="I53" i="1"/>
  <c r="E51" i="1"/>
  <c r="F51" i="1"/>
  <c r="G51" i="1"/>
  <c r="I51" i="1"/>
  <c r="E48" i="1"/>
  <c r="F48" i="1"/>
  <c r="G48" i="1"/>
  <c r="I48" i="1"/>
  <c r="E45" i="1"/>
  <c r="F45" i="1"/>
  <c r="G45" i="1"/>
  <c r="I45" i="1"/>
  <c r="E41" i="1"/>
  <c r="F41" i="1"/>
  <c r="G41" i="1"/>
  <c r="I41" i="1"/>
  <c r="E38" i="1"/>
  <c r="F38" i="1"/>
  <c r="G38" i="1"/>
  <c r="I38" i="1"/>
  <c r="E35" i="1"/>
  <c r="F35" i="1"/>
  <c r="G35" i="1"/>
  <c r="I35" i="1"/>
  <c r="E33" i="1"/>
  <c r="F33" i="1"/>
  <c r="G33" i="1"/>
  <c r="I33" i="1"/>
  <c r="E30" i="1"/>
  <c r="F30" i="1"/>
  <c r="G30" i="1"/>
  <c r="I30" i="1"/>
  <c r="E27" i="1"/>
  <c r="F27" i="1"/>
  <c r="G27" i="1"/>
  <c r="I27" i="1"/>
  <c r="E22" i="1"/>
  <c r="F22" i="1"/>
  <c r="G22" i="1"/>
  <c r="I22" i="1"/>
  <c r="G67" i="1"/>
  <c r="K67" i="1"/>
  <c r="E64" i="1"/>
  <c r="F64" i="1"/>
  <c r="G64" i="1"/>
  <c r="J64" i="1"/>
  <c r="E60" i="1"/>
  <c r="F60" i="1"/>
  <c r="G60" i="1"/>
  <c r="J60" i="1"/>
  <c r="E58" i="1"/>
  <c r="F58" i="1"/>
  <c r="G58" i="1"/>
  <c r="K58" i="1"/>
  <c r="E43" i="1"/>
  <c r="F43" i="1"/>
  <c r="G43" i="1"/>
  <c r="I43" i="1"/>
  <c r="E55" i="1"/>
  <c r="F55" i="1"/>
  <c r="G55" i="1"/>
  <c r="I55" i="1"/>
  <c r="G52" i="1"/>
  <c r="I52" i="1"/>
  <c r="G49" i="1"/>
  <c r="I49" i="1"/>
  <c r="G47" i="1"/>
  <c r="I47" i="1"/>
  <c r="G44" i="1"/>
  <c r="I44" i="1"/>
  <c r="G39" i="1"/>
  <c r="I39" i="1"/>
  <c r="G37" i="1"/>
  <c r="I37" i="1"/>
  <c r="G34" i="1"/>
  <c r="I34" i="1"/>
  <c r="G31" i="1"/>
  <c r="I31" i="1"/>
  <c r="G29" i="1"/>
  <c r="I29" i="1"/>
  <c r="G26" i="1"/>
  <c r="I26" i="1"/>
  <c r="G25" i="1"/>
  <c r="I25" i="1"/>
  <c r="E66" i="1"/>
  <c r="F66" i="1"/>
  <c r="G66" i="1"/>
  <c r="K66" i="1"/>
  <c r="E16" i="2"/>
  <c r="E14" i="2"/>
  <c r="E28" i="2"/>
  <c r="E31" i="2"/>
  <c r="E17" i="2"/>
  <c r="E18" i="2"/>
  <c r="E12" i="2"/>
  <c r="E52" i="2"/>
  <c r="E20" i="2"/>
  <c r="E39" i="2"/>
  <c r="E24" i="2"/>
  <c r="I21" i="1"/>
  <c r="E42" i="2"/>
  <c r="E53" i="2"/>
  <c r="E25" i="2"/>
  <c r="E23" i="2"/>
  <c r="E50" i="2"/>
  <c r="E47" i="2"/>
  <c r="C11" i="1"/>
  <c r="C12" i="1"/>
  <c r="C16" i="1" l="1"/>
  <c r="D18" i="1" s="1"/>
  <c r="O65" i="1"/>
  <c r="O63" i="1"/>
  <c r="O46" i="1"/>
  <c r="O51" i="1"/>
  <c r="O59" i="1"/>
  <c r="O41" i="1"/>
  <c r="O66" i="1"/>
  <c r="O35" i="1"/>
  <c r="O24" i="1"/>
  <c r="O23" i="1"/>
  <c r="O53" i="1"/>
  <c r="O42" i="1"/>
  <c r="O33" i="1"/>
  <c r="O67" i="1"/>
  <c r="O44" i="1"/>
  <c r="O48" i="1"/>
  <c r="O50" i="1"/>
  <c r="O22" i="1"/>
  <c r="O40" i="1"/>
  <c r="O38" i="1"/>
  <c r="O58" i="1"/>
  <c r="O34" i="1"/>
  <c r="O25" i="1"/>
  <c r="O55" i="1"/>
  <c r="O54" i="1"/>
  <c r="O30" i="1"/>
  <c r="O39" i="1"/>
  <c r="O64" i="1"/>
  <c r="O28" i="1"/>
  <c r="O62" i="1"/>
  <c r="O36" i="1"/>
  <c r="O37" i="1"/>
  <c r="O45" i="1"/>
  <c r="O57" i="1"/>
  <c r="O68" i="1"/>
  <c r="O49" i="1"/>
  <c r="O56" i="1"/>
  <c r="O21" i="1"/>
  <c r="O29" i="1"/>
  <c r="C15" i="1"/>
  <c r="O27" i="1"/>
  <c r="O61" i="1"/>
  <c r="O26" i="1"/>
  <c r="O31" i="1"/>
  <c r="O52" i="1"/>
  <c r="O69" i="1"/>
  <c r="O32" i="1"/>
  <c r="O47" i="1"/>
  <c r="O43" i="1"/>
  <c r="O60" i="1"/>
  <c r="F18" i="1" l="1"/>
  <c r="F19" i="1" s="1"/>
  <c r="C18" i="1"/>
</calcChain>
</file>

<file path=xl/sharedStrings.xml><?xml version="1.0" encoding="utf-8"?>
<sst xmlns="http://schemas.openxmlformats.org/spreadsheetml/2006/main" count="508" uniqueCount="250">
  <si>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</si>
  <si>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</si>
  <si>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</si>
  <si>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</si>
  <si>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</si>
  <si>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</si>
  <si>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</si>
  <si>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</si>
  <si>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</si>
  <si>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</si>
  <si>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</si>
  <si>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</si>
  <si>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</si>
  <si>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</si>
  <si>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</si>
  <si>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</si>
  <si>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</si>
  <si>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</si>
  <si>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</si>
  <si>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</si>
  <si>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</si>
  <si>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</si>
  <si>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</si>
  <si>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</si>
  <si>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</si>
  <si>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</si>
  <si>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</si>
  <si>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</si>
  <si>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</si>
  <si>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</si>
  <si>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Bull.21</t>
  </si>
  <si>
    <t>B</t>
  </si>
  <si>
    <t>BBSAG Bull.26</t>
  </si>
  <si>
    <t>Peter H</t>
  </si>
  <si>
    <t>BBSAG Bull.114</t>
  </si>
  <si>
    <t>BBSAG Bull.117</t>
  </si>
  <si>
    <t>IBVS 5263</t>
  </si>
  <si>
    <t>I</t>
  </si>
  <si>
    <t>IBVS 3877</t>
  </si>
  <si>
    <t>EA/SD</t>
  </si>
  <si>
    <t>IBVS 5657</t>
  </si>
  <si>
    <t># of data points:</t>
  </si>
  <si>
    <t>IBVS 5438</t>
  </si>
  <si>
    <t xml:space="preserve">EG Gem /  GSC 00760-00258 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</si>
  <si>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</si>
  <si>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</si>
  <si>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</si>
  <si>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</si>
  <si>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</si>
  <si>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</si>
  <si>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Add cycle</t>
  </si>
  <si>
    <t>Old Cycle</t>
  </si>
  <si>
    <t>Start of linear fit &gt;&gt;&gt;&gt;&gt;&gt;&gt;&gt;&gt;&gt;&gt;&gt;&gt;&gt;&gt;&gt;&gt;&gt;&gt;&gt;&gt;</t>
  </si>
  <si>
    <t>IBVS 5918</t>
  </si>
  <si>
    <t>IBVS 5959</t>
  </si>
  <si>
    <t>II</t>
  </si>
  <si>
    <t>OEJV 0074</t>
  </si>
  <si>
    <t>vis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</si>
  <si>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</si>
  <si>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</si>
  <si>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</si>
  <si>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</si>
  <si>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</si>
  <si>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</si>
  <si>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</si>
  <si>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</si>
  <si>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</si>
  <si>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</si>
  <si>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</si>
  <si>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</si>
  <si>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2414721.27 </t>
  </si>
  <si>
    <t> 07.03.1899 18:28 </t>
  </si>
  <si>
    <t> -0.23 </t>
  </si>
  <si>
    <t>P </t>
  </si>
  <si>
    <t> N.E.Kurochkin </t>
  </si>
  <si>
    <t> PZ 6.316 </t>
  </si>
  <si>
    <t>2418023.25 </t>
  </si>
  <si>
    <t> 22.03.1908 18:00 </t>
  </si>
  <si>
    <t> -0.16 </t>
  </si>
  <si>
    <t>2427344.59 </t>
  </si>
  <si>
    <t> 29.09.1933 02:09 </t>
  </si>
  <si>
    <t> -0.04 </t>
  </si>
  <si>
    <t> C.Hoffmeister </t>
  </si>
  <si>
    <t> VSS 2.76 </t>
  </si>
  <si>
    <t>2428126.48 </t>
  </si>
  <si>
    <t> 19.11.1935 23:31 </t>
  </si>
  <si>
    <t> -0.02 </t>
  </si>
  <si>
    <t>2428209.30 </t>
  </si>
  <si>
    <t> 10.02.1936 19:12 </t>
  </si>
  <si>
    <t> 0.03 </t>
  </si>
  <si>
    <t>2428480.48 </t>
  </si>
  <si>
    <t> 07.11.1936 23:31 </t>
  </si>
  <si>
    <t>2428494.55 </t>
  </si>
  <si>
    <t> 22.11.1936 01:12 </t>
  </si>
  <si>
    <t> 0.04 </t>
  </si>
  <si>
    <t>2429313.29 </t>
  </si>
  <si>
    <t> 18.02.1939 18:57 </t>
  </si>
  <si>
    <t> -0.01 </t>
  </si>
  <si>
    <t>2430371.473 </t>
  </si>
  <si>
    <t> 11.01.1942 23:21 </t>
  </si>
  <si>
    <t> -0.015 </t>
  </si>
  <si>
    <t>? </t>
  </si>
  <si>
    <t> R.Weber </t>
  </si>
  <si>
    <t> BRNO 31.31 </t>
  </si>
  <si>
    <t>2430380.38 </t>
  </si>
  <si>
    <t> 20.01.1942 21:07 </t>
  </si>
  <si>
    <t>2430431.33 </t>
  </si>
  <si>
    <t> 12.03.1942 19:55 </t>
  </si>
  <si>
    <t>2430618.60 </t>
  </si>
  <si>
    <t> 16.09.1942 02:24 </t>
  </si>
  <si>
    <t> 0.07 </t>
  </si>
  <si>
    <t>2430780.30 </t>
  </si>
  <si>
    <t> 24.02.1943 19:12 </t>
  </si>
  <si>
    <t> 0.05 </t>
  </si>
  <si>
    <t>2431028.62 </t>
  </si>
  <si>
    <t> 31.10.1943 02:52 </t>
  </si>
  <si>
    <t> 0.06 </t>
  </si>
  <si>
    <t>2431470.43 </t>
  </si>
  <si>
    <t> 14.01.1945 22:19 </t>
  </si>
  <si>
    <t> 0.00 </t>
  </si>
  <si>
    <t>2431787.503 </t>
  </si>
  <si>
    <t> 28.11.1945 00:04 </t>
  </si>
  <si>
    <t> 0.003 </t>
  </si>
  <si>
    <t>2431824.464 </t>
  </si>
  <si>
    <t> 03.01.1946 23:08 </t>
  </si>
  <si>
    <t> 0.036 </t>
  </si>
  <si>
    <t>2432174.53 </t>
  </si>
  <si>
    <t> 20.12.1946 00:43 </t>
  </si>
  <si>
    <t> -0.08 </t>
  </si>
  <si>
    <t>2432229.42 </t>
  </si>
  <si>
    <t> 12.02.1947 22:04 </t>
  </si>
  <si>
    <t>2433356.35 </t>
  </si>
  <si>
    <t> 15.03.1950 20:24 </t>
  </si>
  <si>
    <t>2442471.414 </t>
  </si>
  <si>
    <t> 27.02.1975 21:56 </t>
  </si>
  <si>
    <t> 0.155 </t>
  </si>
  <si>
    <t>V </t>
  </si>
  <si>
    <t> K.Locher </t>
  </si>
  <si>
    <t> BBS 21 </t>
  </si>
  <si>
    <t>2442806.300 </t>
  </si>
  <si>
    <t> 28.01.1976 19:12 </t>
  </si>
  <si>
    <t> 0.139 </t>
  </si>
  <si>
    <t> BBS 26 </t>
  </si>
  <si>
    <t>2445671.473 </t>
  </si>
  <si>
    <t> 02.12.1983 23:21 </t>
  </si>
  <si>
    <t> 0.180 </t>
  </si>
  <si>
    <t> J.Borovicka </t>
  </si>
  <si>
    <t> BRNO 26 </t>
  </si>
  <si>
    <t> V.Wagner </t>
  </si>
  <si>
    <t>2446090.425 </t>
  </si>
  <si>
    <t> 24.01.1985 22:12 </t>
  </si>
  <si>
    <t> 0.186 </t>
  </si>
  <si>
    <t> BRNO 27 </t>
  </si>
  <si>
    <t>2446467.365 </t>
  </si>
  <si>
    <t> 05.02.1986 20:45 </t>
  </si>
  <si>
    <t> 0.202 </t>
  </si>
  <si>
    <t> P.Frank </t>
  </si>
  <si>
    <t>BAVM 68 </t>
  </si>
  <si>
    <t>2446770.421 </t>
  </si>
  <si>
    <t> 05.12.1986 22:06 </t>
  </si>
  <si>
    <t> 0.191 </t>
  </si>
  <si>
    <t> BRNO 28 </t>
  </si>
  <si>
    <t>2447529.367 </t>
  </si>
  <si>
    <t> 02.01.1989 20:48 </t>
  </si>
  <si>
    <t> 0.195 </t>
  </si>
  <si>
    <t> J.Manek </t>
  </si>
  <si>
    <t> BRNO 30 </t>
  </si>
  <si>
    <t>2447557.380 </t>
  </si>
  <si>
    <t> 30.01.1989 21:07 </t>
  </si>
  <si>
    <t> 0.194 </t>
  </si>
  <si>
    <t>2447557.381 </t>
  </si>
  <si>
    <t> 30.01.1989 21:08 </t>
  </si>
  <si>
    <t>2448275.587 </t>
  </si>
  <si>
    <t> 19.01.1991 02:05 </t>
  </si>
  <si>
    <t> 0.208 </t>
  </si>
  <si>
    <t>BAVM 59 </t>
  </si>
  <si>
    <t>2448619.401 </t>
  </si>
  <si>
    <t> 28.12.1991 21:37 </t>
  </si>
  <si>
    <t> 0.206 </t>
  </si>
  <si>
    <t> BRNO 31 </t>
  </si>
  <si>
    <t>2449006.511 </t>
  </si>
  <si>
    <t> 19.01.1993 00:15 </t>
  </si>
  <si>
    <t> 0.205 </t>
  </si>
  <si>
    <t>E </t>
  </si>
  <si>
    <t>?</t>
  </si>
  <si>
    <t>IBVS 3877 </t>
  </si>
  <si>
    <t>2450519.312 </t>
  </si>
  <si>
    <t> 11.03.1997 19:29 </t>
  </si>
  <si>
    <t> 0.216 </t>
  </si>
  <si>
    <t> H.Peter </t>
  </si>
  <si>
    <t> BBS 114 </t>
  </si>
  <si>
    <t>2450831.3063 </t>
  </si>
  <si>
    <t> 17.01.1998 19:21 </t>
  </si>
  <si>
    <t> 0.2293 </t>
  </si>
  <si>
    <t> M.Netolicky </t>
  </si>
  <si>
    <t> BRNO 32 </t>
  </si>
  <si>
    <t>2450859.313 </t>
  </si>
  <si>
    <t> 14.02.1998 19:30 </t>
  </si>
  <si>
    <t> 0.221 </t>
  </si>
  <si>
    <t> BBS 117 </t>
  </si>
  <si>
    <t>2451195.4970 </t>
  </si>
  <si>
    <t> 16.01.1999 23:55 </t>
  </si>
  <si>
    <t> 0.2298 </t>
  </si>
  <si>
    <t> M.Zejda </t>
  </si>
  <si>
    <t>IBVS 5263 </t>
  </si>
  <si>
    <t>2452694.2963 </t>
  </si>
  <si>
    <t> 23.02.2003 19:06 </t>
  </si>
  <si>
    <t> 0.2468 </t>
  </si>
  <si>
    <t> R.Diethelm </t>
  </si>
  <si>
    <t> BBS 129 </t>
  </si>
  <si>
    <t>2453407.4054 </t>
  </si>
  <si>
    <t> 05.02.2005 21:43 </t>
  </si>
  <si>
    <t> 0.2563 </t>
  </si>
  <si>
    <t>-I</t>
  </si>
  <si>
    <t> v.Poschinger </t>
  </si>
  <si>
    <t>BAVM 173 </t>
  </si>
  <si>
    <t>2453784.336 </t>
  </si>
  <si>
    <t> 17.02.2006 20:03 </t>
  </si>
  <si>
    <t>20763</t>
  </si>
  <si>
    <t> 0.263 </t>
  </si>
  <si>
    <t> V.Novotný </t>
  </si>
  <si>
    <t>OEJV 0074 </t>
  </si>
  <si>
    <t>2454097.5907 </t>
  </si>
  <si>
    <t> 28.12.2006 02:10 </t>
  </si>
  <si>
    <t>21009</t>
  </si>
  <si>
    <t> 0.2632 </t>
  </si>
  <si>
    <t>C </t>
  </si>
  <si>
    <t> R. Diethelm </t>
  </si>
  <si>
    <t> BBS 133 (=IBVS 5781) </t>
  </si>
  <si>
    <t>2454856.5469 </t>
  </si>
  <si>
    <t> 25.01.2009 01:07 </t>
  </si>
  <si>
    <t>21605</t>
  </si>
  <si>
    <t> 0.2777 </t>
  </si>
  <si>
    <t> F.Agerer </t>
  </si>
  <si>
    <t>BAVM 209 </t>
  </si>
  <si>
    <t>2455263.4003 </t>
  </si>
  <si>
    <t> 07.03.2010 21:36 </t>
  </si>
  <si>
    <t>21924.5</t>
  </si>
  <si>
    <t> 0.2824 </t>
  </si>
  <si>
    <t>BAVM 214 </t>
  </si>
  <si>
    <t>2455578.5726 </t>
  </si>
  <si>
    <t> 17.01.2011 01:44 </t>
  </si>
  <si>
    <t>22172</t>
  </si>
  <si>
    <t> 0.2902 </t>
  </si>
  <si>
    <t>BAVM 215 </t>
  </si>
  <si>
    <t>BAD?</t>
  </si>
  <si>
    <t>JAVSO..45..121</t>
  </si>
  <si>
    <t>JAVSO..46..184</t>
  </si>
  <si>
    <t>OEJV 0211</t>
  </si>
  <si>
    <t>07/03/1899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</si>
</sst>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0" fillId="0" borderId="2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9" applyFont="1" applyAlignment="1">
      <alignment horizontal="left"/>
    </xf>
    <xf numFmtId="0" fontId="23" fillId="0" borderId="0" xfId="9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left"/>
    </xf>
    <xf numFmtId="0" fontId="0" fillId="3" borderId="0" xfId="0" applyFill="1" applyAlignment="1"/>
  </cellXfs>
  <cellStyles count="1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Normal_A_1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Gem - O-C Diagr.</a:t>
            </a:r>
          </a:p>
        </c:rich>
      </c:tx>
      <c:layout>
        <c:manualLayout>
          <c:xMode val="edge"/>
          <c:yMode val="edge"/>
          <c:x val="0.3779163452157904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981057489931"/>
          <c:y val="0.17740566832815624"/>
          <c:w val="0.79563813003700179"/>
          <c:h val="0.627982052702127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51-4C2D-B0B4-EBA3997DE9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-0.23010399999657238</c:v>
                </c:pt>
                <c:pt idx="1">
                  <c:v>-0.15555999999924097</c:v>
                </c:pt>
                <c:pt idx="2">
                  <c:v>-4.499999999825377E-2</c:v>
                </c:pt>
                <c:pt idx="4">
                  <c:v>-1.7687999999907333E-2</c:v>
                </c:pt>
                <c:pt idx="5">
                  <c:v>3.1832000000576954E-2</c:v>
                </c:pt>
                <c:pt idx="6">
                  <c:v>-2.0663999999669613E-2</c:v>
                </c:pt>
                <c:pt idx="7">
                  <c:v>4.2024000002129469E-2</c:v>
                </c:pt>
                <c:pt idx="8">
                  <c:v>-9.0319999981147703E-3</c:v>
                </c:pt>
                <c:pt idx="9">
                  <c:v>-1.4783999995415797E-2</c:v>
                </c:pt>
                <c:pt idx="10">
                  <c:v>-2.1527999997488223E-2</c:v>
                </c:pt>
                <c:pt idx="11">
                  <c:v>-7.20799999544397E-3</c:v>
                </c:pt>
                <c:pt idx="12">
                  <c:v>7.4167999999190215E-2</c:v>
                </c:pt>
                <c:pt idx="13">
                  <c:v>5.3384000002552057E-2</c:v>
                </c:pt>
                <c:pt idx="14">
                  <c:v>6.1944000000949018E-2</c:v>
                </c:pt>
                <c:pt idx="15">
                  <c:v>4.9199999994016252E-3</c:v>
                </c:pt>
                <c:pt idx="16">
                  <c:v>3.3120000007329509E-3</c:v>
                </c:pt>
                <c:pt idx="17">
                  <c:v>3.5944000002928078E-2</c:v>
                </c:pt>
                <c:pt idx="18">
                  <c:v>-8.0856000000494532E-2</c:v>
                </c:pt>
                <c:pt idx="19">
                  <c:v>5.3287999999156455E-2</c:v>
                </c:pt>
                <c:pt idx="20">
                  <c:v>3.1368000003567431E-2</c:v>
                </c:pt>
                <c:pt idx="21">
                  <c:v>0.15543199999956414</c:v>
                </c:pt>
                <c:pt idx="22">
                  <c:v>0.13933600000746083</c:v>
                </c:pt>
                <c:pt idx="23">
                  <c:v>0.18033599999762373</c:v>
                </c:pt>
                <c:pt idx="24">
                  <c:v>0.18033599999762373</c:v>
                </c:pt>
                <c:pt idx="25">
                  <c:v>0.18636800000240328</c:v>
                </c:pt>
                <c:pt idx="26">
                  <c:v>0.20233599999482976</c:v>
                </c:pt>
                <c:pt idx="27">
                  <c:v>0.19104000000515953</c:v>
                </c:pt>
                <c:pt idx="28">
                  <c:v>0.19540799999958836</c:v>
                </c:pt>
                <c:pt idx="29">
                  <c:v>0.19378399999550311</c:v>
                </c:pt>
                <c:pt idx="30">
                  <c:v>0.19478399999934481</c:v>
                </c:pt>
                <c:pt idx="31">
                  <c:v>0.20769599999766797</c:v>
                </c:pt>
                <c:pt idx="32">
                  <c:v>0.20585600000049453</c:v>
                </c:pt>
                <c:pt idx="34">
                  <c:v>0.21599199999764096</c:v>
                </c:pt>
                <c:pt idx="36">
                  <c:v>0.22132800000690622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51-4C2D-B0B4-EBA3997DE9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5">
                  <c:v>0.22925199999735923</c:v>
                </c:pt>
                <c:pt idx="39">
                  <c:v>0.25633600000583101</c:v>
                </c:pt>
                <c:pt idx="42">
                  <c:v>0.27774000000499655</c:v>
                </c:pt>
                <c:pt idx="43">
                  <c:v>0.28239600000233622</c:v>
                </c:pt>
                <c:pt idx="44">
                  <c:v>0.29017599999497179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51-4C2D-B0B4-EBA3997DE9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3">
                  <c:v>0.20468799999798648</c:v>
                </c:pt>
                <c:pt idx="37">
                  <c:v>0.2298399999999674</c:v>
                </c:pt>
                <c:pt idx="38">
                  <c:v>0.24675600000045961</c:v>
                </c:pt>
                <c:pt idx="40">
                  <c:v>0.2637140000006184</c:v>
                </c:pt>
                <c:pt idx="41">
                  <c:v>0.26317199999903096</c:v>
                </c:pt>
                <c:pt idx="45">
                  <c:v>0.30891199999314267</c:v>
                </c:pt>
                <c:pt idx="46">
                  <c:v>0.31617199999891454</c:v>
                </c:pt>
                <c:pt idx="47">
                  <c:v>0.31265999999595806</c:v>
                </c:pt>
                <c:pt idx="48">
                  <c:v>0.31930799983092584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51-4C2D-B0B4-EBA3997DE9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51-4C2D-B0B4-EBA3997DE9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51-4C2D-B0B4-EBA3997DE9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51-4C2D-B0B4-EBA3997DE9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-0.17003060783252624</c:v>
                </c:pt>
                <c:pt idx="1">
                  <c:v>-0.13307714479660515</c:v>
                </c:pt>
                <c:pt idx="2">
                  <c:v>-2.8758074444525633E-2</c:v>
                </c:pt>
                <c:pt idx="3">
                  <c:v>-2.8758074444525633E-2</c:v>
                </c:pt>
                <c:pt idx="4">
                  <c:v>-2.0007813625375792E-2</c:v>
                </c:pt>
                <c:pt idx="5">
                  <c:v>-1.9081483082631918E-2</c:v>
                </c:pt>
                <c:pt idx="6">
                  <c:v>-1.6045969150255832E-2</c:v>
                </c:pt>
                <c:pt idx="7">
                  <c:v>-1.588920551994533E-2</c:v>
                </c:pt>
                <c:pt idx="8">
                  <c:v>-6.7256587663405316E-3</c:v>
                </c:pt>
                <c:pt idx="9">
                  <c:v>5.1171209416619387E-3</c:v>
                </c:pt>
                <c:pt idx="10">
                  <c:v>5.216879615495898E-3</c:v>
                </c:pt>
                <c:pt idx="11">
                  <c:v>5.7869291802613576E-3</c:v>
                </c:pt>
                <c:pt idx="12">
                  <c:v>7.8818613307744326E-3</c:v>
                </c:pt>
                <c:pt idx="13">
                  <c:v>9.6917686989047708E-3</c:v>
                </c:pt>
                <c:pt idx="14">
                  <c:v>1.2470760327136399E-2</c:v>
                </c:pt>
                <c:pt idx="15">
                  <c:v>1.7415940301476779E-2</c:v>
                </c:pt>
                <c:pt idx="16">
                  <c:v>2.0964498842141785E-2</c:v>
                </c:pt>
                <c:pt idx="17">
                  <c:v>2.1377784776596742E-2</c:v>
                </c:pt>
                <c:pt idx="18">
                  <c:v>2.5296875534359289E-2</c:v>
                </c:pt>
                <c:pt idx="19">
                  <c:v>2.5909678816482165E-2</c:v>
                </c:pt>
                <c:pt idx="20">
                  <c:v>3.8522025436918003E-2</c:v>
                </c:pt>
                <c:pt idx="21">
                  <c:v>0.14053239505169743</c:v>
                </c:pt>
                <c:pt idx="22">
                  <c:v>0.14428047094003033</c:v>
                </c:pt>
                <c:pt idx="23">
                  <c:v>0.17634575895808757</c:v>
                </c:pt>
                <c:pt idx="24">
                  <c:v>0.17634575895808757</c:v>
                </c:pt>
                <c:pt idx="25">
                  <c:v>0.18103441662828348</c:v>
                </c:pt>
                <c:pt idx="26">
                  <c:v>0.18525278340754792</c:v>
                </c:pt>
                <c:pt idx="27">
                  <c:v>0.18864457831790241</c:v>
                </c:pt>
                <c:pt idx="28">
                  <c:v>0.19713831683290778</c:v>
                </c:pt>
                <c:pt idx="29">
                  <c:v>0.19745184409352878</c:v>
                </c:pt>
                <c:pt idx="30">
                  <c:v>0.19745184409352878</c:v>
                </c:pt>
                <c:pt idx="31">
                  <c:v>0.20548954295672181</c:v>
                </c:pt>
                <c:pt idx="32">
                  <c:v>0.20933737751888867</c:v>
                </c:pt>
                <c:pt idx="33">
                  <c:v>0.21366975421110618</c:v>
                </c:pt>
                <c:pt idx="34">
                  <c:v>0.23060022628464041</c:v>
                </c:pt>
                <c:pt idx="35">
                  <c:v>0.23409177986882887</c:v>
                </c:pt>
                <c:pt idx="36">
                  <c:v>0.23440530712944987</c:v>
                </c:pt>
                <c:pt idx="37">
                  <c:v>0.23816763425690193</c:v>
                </c:pt>
                <c:pt idx="38">
                  <c:v>0.25494134270012558</c:v>
                </c:pt>
                <c:pt idx="39">
                  <c:v>0.2629220366068421</c:v>
                </c:pt>
                <c:pt idx="40">
                  <c:v>0.26714040338610656</c:v>
                </c:pt>
                <c:pt idx="41">
                  <c:v>0.2706462082094141</c:v>
                </c:pt>
                <c:pt idx="42">
                  <c:v>0.27913994672441944</c:v>
                </c:pt>
                <c:pt idx="43">
                  <c:v>0.28369321762298361</c:v>
                </c:pt>
                <c:pt idx="44">
                  <c:v>0.2872203993049699</c:v>
                </c:pt>
                <c:pt idx="45">
                  <c:v>0.30812696709274323</c:v>
                </c:pt>
                <c:pt idx="46">
                  <c:v>0.31589389241267263</c:v>
                </c:pt>
                <c:pt idx="47">
                  <c:v>0.31177528430724222</c:v>
                </c:pt>
                <c:pt idx="48">
                  <c:v>0.3118964198397548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51-4C2D-B0B4-EBA3997DE95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51-4C2D-B0B4-EBA3997DE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003472"/>
        <c:axId val="1"/>
      </c:scatterChart>
      <c:valAx>
        <c:axId val="48400347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956609234109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00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Gem - O-C Diagr.</a:t>
            </a:r>
          </a:p>
        </c:rich>
      </c:tx>
      <c:layout>
        <c:manualLayout>
          <c:xMode val="edge"/>
          <c:yMode val="edge"/>
          <c:x val="0.37732919254658387"/>
          <c:y val="3.3742525303603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94509381979426"/>
          <c:y val="0.20124571584515241"/>
          <c:w val="0.75548670546616459"/>
          <c:h val="0.5977663801199162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DE-49A0-BDA9-009B7C7976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-0.23010399999657238</c:v>
                </c:pt>
                <c:pt idx="1">
                  <c:v>-0.15555999999924097</c:v>
                </c:pt>
                <c:pt idx="2">
                  <c:v>-4.499999999825377E-2</c:v>
                </c:pt>
                <c:pt idx="4">
                  <c:v>-1.7687999999907333E-2</c:v>
                </c:pt>
                <c:pt idx="5">
                  <c:v>3.1832000000576954E-2</c:v>
                </c:pt>
                <c:pt idx="6">
                  <c:v>-2.0663999999669613E-2</c:v>
                </c:pt>
                <c:pt idx="7">
                  <c:v>4.2024000002129469E-2</c:v>
                </c:pt>
                <c:pt idx="8">
                  <c:v>-9.0319999981147703E-3</c:v>
                </c:pt>
                <c:pt idx="9">
                  <c:v>-1.4783999995415797E-2</c:v>
                </c:pt>
                <c:pt idx="10">
                  <c:v>-2.1527999997488223E-2</c:v>
                </c:pt>
                <c:pt idx="11">
                  <c:v>-7.20799999544397E-3</c:v>
                </c:pt>
                <c:pt idx="12">
                  <c:v>7.4167999999190215E-2</c:v>
                </c:pt>
                <c:pt idx="13">
                  <c:v>5.3384000002552057E-2</c:v>
                </c:pt>
                <c:pt idx="14">
                  <c:v>6.1944000000949018E-2</c:v>
                </c:pt>
                <c:pt idx="15">
                  <c:v>4.9199999994016252E-3</c:v>
                </c:pt>
                <c:pt idx="16">
                  <c:v>3.3120000007329509E-3</c:v>
                </c:pt>
                <c:pt idx="17">
                  <c:v>3.5944000002928078E-2</c:v>
                </c:pt>
                <c:pt idx="18">
                  <c:v>-8.0856000000494532E-2</c:v>
                </c:pt>
                <c:pt idx="19">
                  <c:v>5.3287999999156455E-2</c:v>
                </c:pt>
                <c:pt idx="20">
                  <c:v>3.1368000003567431E-2</c:v>
                </c:pt>
                <c:pt idx="21">
                  <c:v>0.15543199999956414</c:v>
                </c:pt>
                <c:pt idx="22">
                  <c:v>0.13933600000746083</c:v>
                </c:pt>
                <c:pt idx="23">
                  <c:v>0.18033599999762373</c:v>
                </c:pt>
                <c:pt idx="24">
                  <c:v>0.18033599999762373</c:v>
                </c:pt>
                <c:pt idx="25">
                  <c:v>0.18636800000240328</c:v>
                </c:pt>
                <c:pt idx="26">
                  <c:v>0.20233599999482976</c:v>
                </c:pt>
                <c:pt idx="27">
                  <c:v>0.19104000000515953</c:v>
                </c:pt>
                <c:pt idx="28">
                  <c:v>0.19540799999958836</c:v>
                </c:pt>
                <c:pt idx="29">
                  <c:v>0.19378399999550311</c:v>
                </c:pt>
                <c:pt idx="30">
                  <c:v>0.19478399999934481</c:v>
                </c:pt>
                <c:pt idx="31">
                  <c:v>0.20769599999766797</c:v>
                </c:pt>
                <c:pt idx="32">
                  <c:v>0.20585600000049453</c:v>
                </c:pt>
                <c:pt idx="34">
                  <c:v>0.21599199999764096</c:v>
                </c:pt>
                <c:pt idx="36">
                  <c:v>0.22132800000690622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DE-49A0-BDA9-009B7C7976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5">
                  <c:v>0.22925199999735923</c:v>
                </c:pt>
                <c:pt idx="39">
                  <c:v>0.25633600000583101</c:v>
                </c:pt>
                <c:pt idx="42">
                  <c:v>0.27774000000499655</c:v>
                </c:pt>
                <c:pt idx="43">
                  <c:v>0.28239600000233622</c:v>
                </c:pt>
                <c:pt idx="44">
                  <c:v>0.29017599999497179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DE-49A0-BDA9-009B7C7976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3">
                  <c:v>0.20468799999798648</c:v>
                </c:pt>
                <c:pt idx="37">
                  <c:v>0.2298399999999674</c:v>
                </c:pt>
                <c:pt idx="38">
                  <c:v>0.24675600000045961</c:v>
                </c:pt>
                <c:pt idx="40">
                  <c:v>0.2637140000006184</c:v>
                </c:pt>
                <c:pt idx="41">
                  <c:v>0.26317199999903096</c:v>
                </c:pt>
                <c:pt idx="45">
                  <c:v>0.30891199999314267</c:v>
                </c:pt>
                <c:pt idx="46">
                  <c:v>0.31617199999891454</c:v>
                </c:pt>
                <c:pt idx="47">
                  <c:v>0.31265999999595806</c:v>
                </c:pt>
                <c:pt idx="48">
                  <c:v>0.31930799983092584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DE-49A0-BDA9-009B7C7976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DE-49A0-BDA9-009B7C7976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DE-49A0-BDA9-009B7C7976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8.0000000000000002E-3</c:v>
                  </c:pt>
                  <c:pt idx="37">
                    <c:v>1.6000000000000001E-3</c:v>
                  </c:pt>
                  <c:pt idx="38">
                    <c:v>8.9999999999999998E-4</c:v>
                  </c:pt>
                  <c:pt idx="39">
                    <c:v>5.7999999999999996E-3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1.1000000000000001E-3</c:v>
                  </c:pt>
                  <c:pt idx="43">
                    <c:v>1.7299999999999999E-2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DE-49A0-BDA9-009B7C7976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-0.17003060783252624</c:v>
                </c:pt>
                <c:pt idx="1">
                  <c:v>-0.13307714479660515</c:v>
                </c:pt>
                <c:pt idx="2">
                  <c:v>-2.8758074444525633E-2</c:v>
                </c:pt>
                <c:pt idx="3">
                  <c:v>-2.8758074444525633E-2</c:v>
                </c:pt>
                <c:pt idx="4">
                  <c:v>-2.0007813625375792E-2</c:v>
                </c:pt>
                <c:pt idx="5">
                  <c:v>-1.9081483082631918E-2</c:v>
                </c:pt>
                <c:pt idx="6">
                  <c:v>-1.6045969150255832E-2</c:v>
                </c:pt>
                <c:pt idx="7">
                  <c:v>-1.588920551994533E-2</c:v>
                </c:pt>
                <c:pt idx="8">
                  <c:v>-6.7256587663405316E-3</c:v>
                </c:pt>
                <c:pt idx="9">
                  <c:v>5.1171209416619387E-3</c:v>
                </c:pt>
                <c:pt idx="10">
                  <c:v>5.216879615495898E-3</c:v>
                </c:pt>
                <c:pt idx="11">
                  <c:v>5.7869291802613576E-3</c:v>
                </c:pt>
                <c:pt idx="12">
                  <c:v>7.8818613307744326E-3</c:v>
                </c:pt>
                <c:pt idx="13">
                  <c:v>9.6917686989047708E-3</c:v>
                </c:pt>
                <c:pt idx="14">
                  <c:v>1.2470760327136399E-2</c:v>
                </c:pt>
                <c:pt idx="15">
                  <c:v>1.7415940301476779E-2</c:v>
                </c:pt>
                <c:pt idx="16">
                  <c:v>2.0964498842141785E-2</c:v>
                </c:pt>
                <c:pt idx="17">
                  <c:v>2.1377784776596742E-2</c:v>
                </c:pt>
                <c:pt idx="18">
                  <c:v>2.5296875534359289E-2</c:v>
                </c:pt>
                <c:pt idx="19">
                  <c:v>2.5909678816482165E-2</c:v>
                </c:pt>
                <c:pt idx="20">
                  <c:v>3.8522025436918003E-2</c:v>
                </c:pt>
                <c:pt idx="21">
                  <c:v>0.14053239505169743</c:v>
                </c:pt>
                <c:pt idx="22">
                  <c:v>0.14428047094003033</c:v>
                </c:pt>
                <c:pt idx="23">
                  <c:v>0.17634575895808757</c:v>
                </c:pt>
                <c:pt idx="24">
                  <c:v>0.17634575895808757</c:v>
                </c:pt>
                <c:pt idx="25">
                  <c:v>0.18103441662828348</c:v>
                </c:pt>
                <c:pt idx="26">
                  <c:v>0.18525278340754792</c:v>
                </c:pt>
                <c:pt idx="27">
                  <c:v>0.18864457831790241</c:v>
                </c:pt>
                <c:pt idx="28">
                  <c:v>0.19713831683290778</c:v>
                </c:pt>
                <c:pt idx="29">
                  <c:v>0.19745184409352878</c:v>
                </c:pt>
                <c:pt idx="30">
                  <c:v>0.19745184409352878</c:v>
                </c:pt>
                <c:pt idx="31">
                  <c:v>0.20548954295672181</c:v>
                </c:pt>
                <c:pt idx="32">
                  <c:v>0.20933737751888867</c:v>
                </c:pt>
                <c:pt idx="33">
                  <c:v>0.21366975421110618</c:v>
                </c:pt>
                <c:pt idx="34">
                  <c:v>0.23060022628464041</c:v>
                </c:pt>
                <c:pt idx="35">
                  <c:v>0.23409177986882887</c:v>
                </c:pt>
                <c:pt idx="36">
                  <c:v>0.23440530712944987</c:v>
                </c:pt>
                <c:pt idx="37">
                  <c:v>0.23816763425690193</c:v>
                </c:pt>
                <c:pt idx="38">
                  <c:v>0.25494134270012558</c:v>
                </c:pt>
                <c:pt idx="39">
                  <c:v>0.2629220366068421</c:v>
                </c:pt>
                <c:pt idx="40">
                  <c:v>0.26714040338610656</c:v>
                </c:pt>
                <c:pt idx="41">
                  <c:v>0.2706462082094141</c:v>
                </c:pt>
                <c:pt idx="42">
                  <c:v>0.27913994672441944</c:v>
                </c:pt>
                <c:pt idx="43">
                  <c:v>0.28369321762298361</c:v>
                </c:pt>
                <c:pt idx="44">
                  <c:v>0.2872203993049699</c:v>
                </c:pt>
                <c:pt idx="45">
                  <c:v>0.30812696709274323</c:v>
                </c:pt>
                <c:pt idx="46">
                  <c:v>0.31589389241267263</c:v>
                </c:pt>
                <c:pt idx="47">
                  <c:v>0.31177528430724222</c:v>
                </c:pt>
                <c:pt idx="48">
                  <c:v>0.3118964198397548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DE-49A0-BDA9-009B7C7976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-9913</c:v>
                </c:pt>
                <c:pt idx="1">
                  <c:v>-7320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679</c:v>
                </c:pt>
                <c:pt idx="6">
                  <c:v>892</c:v>
                </c:pt>
                <c:pt idx="7">
                  <c:v>903</c:v>
                </c:pt>
                <c:pt idx="8">
                  <c:v>1546</c:v>
                </c:pt>
                <c:pt idx="9">
                  <c:v>2377</c:v>
                </c:pt>
                <c:pt idx="10">
                  <c:v>2384</c:v>
                </c:pt>
                <c:pt idx="11">
                  <c:v>2424</c:v>
                </c:pt>
                <c:pt idx="12">
                  <c:v>2571</c:v>
                </c:pt>
                <c:pt idx="13">
                  <c:v>2698</c:v>
                </c:pt>
                <c:pt idx="14">
                  <c:v>2893</c:v>
                </c:pt>
                <c:pt idx="15">
                  <c:v>3240</c:v>
                </c:pt>
                <c:pt idx="16">
                  <c:v>3489</c:v>
                </c:pt>
                <c:pt idx="17">
                  <c:v>3518</c:v>
                </c:pt>
                <c:pt idx="18">
                  <c:v>3793</c:v>
                </c:pt>
                <c:pt idx="19">
                  <c:v>3836</c:v>
                </c:pt>
                <c:pt idx="20">
                  <c:v>4721</c:v>
                </c:pt>
                <c:pt idx="21">
                  <c:v>11879</c:v>
                </c:pt>
                <c:pt idx="22">
                  <c:v>12142</c:v>
                </c:pt>
                <c:pt idx="23">
                  <c:v>14392</c:v>
                </c:pt>
                <c:pt idx="24">
                  <c:v>14392</c:v>
                </c:pt>
                <c:pt idx="25">
                  <c:v>14721</c:v>
                </c:pt>
                <c:pt idx="26">
                  <c:v>15017</c:v>
                </c:pt>
                <c:pt idx="27">
                  <c:v>15255</c:v>
                </c:pt>
                <c:pt idx="28">
                  <c:v>15851</c:v>
                </c:pt>
                <c:pt idx="29">
                  <c:v>15873</c:v>
                </c:pt>
                <c:pt idx="30">
                  <c:v>15873</c:v>
                </c:pt>
                <c:pt idx="31">
                  <c:v>16437</c:v>
                </c:pt>
                <c:pt idx="32">
                  <c:v>16707</c:v>
                </c:pt>
                <c:pt idx="33">
                  <c:v>17011</c:v>
                </c:pt>
                <c:pt idx="34">
                  <c:v>18199</c:v>
                </c:pt>
                <c:pt idx="35">
                  <c:v>18444</c:v>
                </c:pt>
                <c:pt idx="36">
                  <c:v>18466</c:v>
                </c:pt>
                <c:pt idx="37">
                  <c:v>18730</c:v>
                </c:pt>
                <c:pt idx="38">
                  <c:v>19907</c:v>
                </c:pt>
                <c:pt idx="39">
                  <c:v>20467</c:v>
                </c:pt>
                <c:pt idx="40">
                  <c:v>20763</c:v>
                </c:pt>
                <c:pt idx="41">
                  <c:v>21009</c:v>
                </c:pt>
                <c:pt idx="42">
                  <c:v>21605</c:v>
                </c:pt>
                <c:pt idx="43">
                  <c:v>21924.5</c:v>
                </c:pt>
                <c:pt idx="44">
                  <c:v>22172</c:v>
                </c:pt>
                <c:pt idx="45">
                  <c:v>23639</c:v>
                </c:pt>
                <c:pt idx="46">
                  <c:v>24184</c:v>
                </c:pt>
                <c:pt idx="47">
                  <c:v>23895</c:v>
                </c:pt>
                <c:pt idx="48">
                  <c:v>23903.5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DE-49A0-BDA9-009B7C797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015712"/>
        <c:axId val="1"/>
      </c:scatterChart>
      <c:valAx>
        <c:axId val="48401571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074534161486"/>
              <c:y val="0.8680982767062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343551092810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015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171450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E33559ED-1164-F6D6-6863-0A6A211B9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152400</xdr:colOff>
      <xdr:row>0</xdr:row>
      <xdr:rowOff>0</xdr:rowOff>
    </xdr:from>
    <xdr:to>
      <xdr:col>27</xdr:col>
      <xdr:colOff>114300</xdr:colOff>
      <xdr:row>18</xdr:row>
      <xdr:rowOff>38100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0C6A4FE6-6CD1-6F96-FF1B-EB3A28EF5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3877" TargetMode="External"/><Relationship Id="rId7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25</v>
      </c>
      <c r="B2" s="10" t="s">
        <v>39</v>
      </c>
    </row>
    <row r="4" spans="1:6" ht="14.25" thickTop="1" thickBot="1" x14ac:dyDescent="0.25">
      <c r="A4" s="7" t="s">
        <v>1</v>
      </c>
      <c r="C4" s="3">
        <v>27344.634999999998</v>
      </c>
      <c r="D4" s="4">
        <v>1.2733920000000001</v>
      </c>
    </row>
    <row r="5" spans="1:6" ht="13.5" thickTop="1" x14ac:dyDescent="0.2">
      <c r="A5" s="16" t="s">
        <v>44</v>
      </c>
      <c r="B5" s="17"/>
      <c r="C5" s="18">
        <v>-9.5</v>
      </c>
      <c r="D5" s="17" t="s">
        <v>45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27344.634999999998</v>
      </c>
    </row>
    <row r="8" spans="1:6" x14ac:dyDescent="0.2">
      <c r="A8" t="s">
        <v>4</v>
      </c>
      <c r="C8">
        <f>+D4</f>
        <v>1.2733920000000001</v>
      </c>
    </row>
    <row r="9" spans="1:6" x14ac:dyDescent="0.2">
      <c r="A9" s="31" t="s">
        <v>52</v>
      </c>
      <c r="B9" s="32">
        <v>21</v>
      </c>
      <c r="C9" s="29" t="str">
        <f>"F"&amp;B9</f>
        <v>F21</v>
      </c>
      <c r="D9" s="30" t="str">
        <f>"G"&amp;B9</f>
        <v>G21</v>
      </c>
    </row>
    <row r="10" spans="1:6" ht="13.5" thickBot="1" x14ac:dyDescent="0.25">
      <c r="A10" s="17"/>
      <c r="B10" s="17"/>
      <c r="C10" s="6" t="s">
        <v>21</v>
      </c>
      <c r="D10" s="6" t="s">
        <v>22</v>
      </c>
      <c r="E10" s="17"/>
    </row>
    <row r="11" spans="1:6" x14ac:dyDescent="0.2">
      <c r="A11" s="17" t="s">
        <v>17</v>
      </c>
      <c r="B11" s="17"/>
      <c r="C11" s="28">
        <f ca="1">INTERCEPT(INDIRECT($D$9):G991,INDIRECT($C$9):F991)</f>
        <v>-2.8758074444525633E-2</v>
      </c>
      <c r="D11" s="5"/>
      <c r="E11" s="17"/>
    </row>
    <row r="12" spans="1:6" x14ac:dyDescent="0.2">
      <c r="A12" s="17" t="s">
        <v>18</v>
      </c>
      <c r="B12" s="17"/>
      <c r="C12" s="28">
        <f ca="1">SLOPE(INDIRECT($D$9):G991,INDIRECT($C$9):F991)</f>
        <v>1.4251239119136548E-5</v>
      </c>
      <c r="D12" s="5"/>
      <c r="E12" s="17"/>
    </row>
    <row r="13" spans="1:6" x14ac:dyDescent="0.2">
      <c r="A13" s="17" t="s">
        <v>20</v>
      </c>
      <c r="B13" s="17"/>
      <c r="C13" s="5" t="s">
        <v>15</v>
      </c>
    </row>
    <row r="14" spans="1:6" x14ac:dyDescent="0.2">
      <c r="A14" s="17"/>
      <c r="B14" s="17"/>
      <c r="C14" s="17"/>
    </row>
    <row r="15" spans="1:6" x14ac:dyDescent="0.2">
      <c r="A15" s="19" t="s">
        <v>19</v>
      </c>
      <c r="B15" s="17"/>
      <c r="C15" s="20">
        <f ca="1">(C7+C11)+(C8+C12)*INT(MAX(F21:F3532))</f>
        <v>58140.663021892411</v>
      </c>
      <c r="E15" s="21" t="s">
        <v>50</v>
      </c>
      <c r="F15" s="18">
        <v>1</v>
      </c>
    </row>
    <row r="16" spans="1:6" x14ac:dyDescent="0.2">
      <c r="A16" s="23" t="s">
        <v>5</v>
      </c>
      <c r="B16" s="17"/>
      <c r="C16" s="24">
        <f ca="1">+C8+C12</f>
        <v>1.2734062512391193</v>
      </c>
      <c r="E16" s="21" t="s">
        <v>46</v>
      </c>
      <c r="F16" s="22">
        <f ca="1">NOW()+15018.5+$C$5/24</f>
        <v>60335.780685416663</v>
      </c>
    </row>
    <row r="17" spans="1:21" ht="13.5" thickBot="1" x14ac:dyDescent="0.25">
      <c r="A17" s="21" t="s">
        <v>41</v>
      </c>
      <c r="B17" s="17"/>
      <c r="C17" s="17">
        <f>COUNT(C21:C2190)</f>
        <v>49</v>
      </c>
      <c r="E17" s="21" t="s">
        <v>51</v>
      </c>
      <c r="F17" s="22">
        <f ca="1">ROUND(2*(F16-$C$7)/$C$8,0)/2+F15</f>
        <v>25909</v>
      </c>
    </row>
    <row r="18" spans="1:21" ht="14.25" thickTop="1" thickBot="1" x14ac:dyDescent="0.25">
      <c r="A18" s="23" t="s">
        <v>6</v>
      </c>
      <c r="B18" s="17"/>
      <c r="C18" s="26">
        <f ca="1">+C15</f>
        <v>58140.663021892411</v>
      </c>
      <c r="D18" s="27">
        <f ca="1">+C16</f>
        <v>1.2734062512391193</v>
      </c>
      <c r="E18" s="21" t="s">
        <v>47</v>
      </c>
      <c r="F18" s="30">
        <f ca="1">ROUND(2*(F16-$C$15)/$C$16,0)/2+F15</f>
        <v>1725</v>
      </c>
    </row>
    <row r="19" spans="1:21" ht="13.5" thickTop="1" x14ac:dyDescent="0.2">
      <c r="E19" s="21" t="s">
        <v>48</v>
      </c>
      <c r="F19" s="25">
        <f ca="1">+$C$15+$C$16*F18-15018.5-$C$5/24</f>
        <v>45319.184638613231</v>
      </c>
    </row>
    <row r="20" spans="1:21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66</v>
      </c>
      <c r="I20" s="9" t="s">
        <v>57</v>
      </c>
      <c r="J20" s="9" t="s">
        <v>63</v>
      </c>
      <c r="K20" s="9" t="s">
        <v>61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56" t="s">
        <v>245</v>
      </c>
    </row>
    <row r="21" spans="1:21" x14ac:dyDescent="0.2">
      <c r="A21" s="54" t="s">
        <v>75</v>
      </c>
      <c r="B21" s="55" t="s">
        <v>37</v>
      </c>
      <c r="C21" s="54">
        <v>14721.27</v>
      </c>
      <c r="D21" s="54" t="s">
        <v>57</v>
      </c>
      <c r="E21">
        <f t="shared" ref="E21:E65" si="0">+(C21-C$7)/C$8</f>
        <v>-9913.1807016221228</v>
      </c>
      <c r="F21">
        <f t="shared" ref="F21:F67" si="1">ROUND(2*E21,0)/2</f>
        <v>-9913</v>
      </c>
      <c r="G21">
        <f t="shared" ref="G21:G65" si="2">+C21-(C$7+F21*C$8)</f>
        <v>-0.23010399999657238</v>
      </c>
      <c r="I21">
        <f>+G21</f>
        <v>-0.23010399999657238</v>
      </c>
      <c r="O21">
        <f t="shared" ref="O21:O65" ca="1" si="3">+C$11+C$12*F21</f>
        <v>-0.17003060783252624</v>
      </c>
      <c r="Q21" s="2" t="s">
        <v>249</v>
      </c>
    </row>
    <row r="22" spans="1:21" x14ac:dyDescent="0.2">
      <c r="A22" s="54" t="s">
        <v>75</v>
      </c>
      <c r="B22" s="55" t="s">
        <v>37</v>
      </c>
      <c r="C22" s="54">
        <v>18023.25</v>
      </c>
      <c r="D22" s="54" t="s">
        <v>57</v>
      </c>
      <c r="E22">
        <f t="shared" si="0"/>
        <v>-7320.1221619108628</v>
      </c>
      <c r="F22">
        <f t="shared" si="1"/>
        <v>-7320</v>
      </c>
      <c r="G22">
        <f t="shared" si="2"/>
        <v>-0.15555999999924097</v>
      </c>
      <c r="I22">
        <f>+G22</f>
        <v>-0.15555999999924097</v>
      </c>
      <c r="O22">
        <f t="shared" ca="1" si="3"/>
        <v>-0.13307714479660515</v>
      </c>
      <c r="Q22" s="2">
        <f t="shared" ref="Q21:Q65" si="4">+C22-15018.5</f>
        <v>3004.75</v>
      </c>
    </row>
    <row r="23" spans="1:21" x14ac:dyDescent="0.2">
      <c r="A23" s="54" t="s">
        <v>83</v>
      </c>
      <c r="B23" s="55" t="s">
        <v>37</v>
      </c>
      <c r="C23" s="54">
        <v>27344.59</v>
      </c>
      <c r="D23" s="54" t="s">
        <v>57</v>
      </c>
      <c r="E23">
        <f t="shared" si="0"/>
        <v>-3.5338685964929707E-2</v>
      </c>
      <c r="F23">
        <f t="shared" si="1"/>
        <v>0</v>
      </c>
      <c r="G23">
        <f t="shared" si="2"/>
        <v>-4.499999999825377E-2</v>
      </c>
      <c r="I23">
        <f>+G23</f>
        <v>-4.499999999825377E-2</v>
      </c>
      <c r="O23">
        <f t="shared" ca="1" si="3"/>
        <v>-2.8758074444525633E-2</v>
      </c>
      <c r="Q23" s="2">
        <f t="shared" si="4"/>
        <v>12326.09</v>
      </c>
    </row>
    <row r="24" spans="1:21" x14ac:dyDescent="0.2">
      <c r="A24" t="s">
        <v>13</v>
      </c>
      <c r="C24" s="14">
        <v>27344.634999999998</v>
      </c>
      <c r="D24" s="14" t="s">
        <v>15</v>
      </c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O24">
        <f t="shared" ca="1" si="3"/>
        <v>-2.8758074444525633E-2</v>
      </c>
      <c r="Q24" s="2">
        <f t="shared" si="4"/>
        <v>12326.134999999998</v>
      </c>
    </row>
    <row r="25" spans="1:21" x14ac:dyDescent="0.2">
      <c r="A25" s="54" t="s">
        <v>83</v>
      </c>
      <c r="B25" s="55" t="s">
        <v>37</v>
      </c>
      <c r="C25" s="54">
        <v>28126.48</v>
      </c>
      <c r="D25" s="54" t="s">
        <v>57</v>
      </c>
      <c r="E25">
        <f t="shared" si="0"/>
        <v>613.98610954050378</v>
      </c>
      <c r="F25">
        <f t="shared" si="1"/>
        <v>614</v>
      </c>
      <c r="G25">
        <f t="shared" si="2"/>
        <v>-1.7687999999907333E-2</v>
      </c>
      <c r="I25">
        <f t="shared" ref="I25:I53" si="5">+G25</f>
        <v>-1.7687999999907333E-2</v>
      </c>
      <c r="O25">
        <f t="shared" ca="1" si="3"/>
        <v>-2.0007813625375792E-2</v>
      </c>
      <c r="Q25" s="2">
        <f t="shared" si="4"/>
        <v>13107.98</v>
      </c>
    </row>
    <row r="26" spans="1:21" x14ac:dyDescent="0.2">
      <c r="A26" s="54" t="s">
        <v>83</v>
      </c>
      <c r="B26" s="55" t="s">
        <v>37</v>
      </c>
      <c r="C26" s="54">
        <v>28209.3</v>
      </c>
      <c r="D26" s="54" t="s">
        <v>57</v>
      </c>
      <c r="E26">
        <f t="shared" si="0"/>
        <v>679.02499780114908</v>
      </c>
      <c r="F26">
        <f t="shared" si="1"/>
        <v>679</v>
      </c>
      <c r="G26">
        <f t="shared" si="2"/>
        <v>3.1832000000576954E-2</v>
      </c>
      <c r="I26">
        <f t="shared" si="5"/>
        <v>3.1832000000576954E-2</v>
      </c>
      <c r="O26">
        <f t="shared" ca="1" si="3"/>
        <v>-1.9081483082631918E-2</v>
      </c>
      <c r="Q26" s="2">
        <f t="shared" si="4"/>
        <v>13190.8</v>
      </c>
    </row>
    <row r="27" spans="1:21" x14ac:dyDescent="0.2">
      <c r="A27" s="54" t="s">
        <v>83</v>
      </c>
      <c r="B27" s="55" t="s">
        <v>37</v>
      </c>
      <c r="C27" s="54">
        <v>28480.48</v>
      </c>
      <c r="D27" s="54" t="s">
        <v>57</v>
      </c>
      <c r="E27">
        <f t="shared" si="0"/>
        <v>891.98377247540509</v>
      </c>
      <c r="F27">
        <f t="shared" si="1"/>
        <v>892</v>
      </c>
      <c r="G27">
        <f t="shared" si="2"/>
        <v>-2.0663999999669613E-2</v>
      </c>
      <c r="I27">
        <f t="shared" si="5"/>
        <v>-2.0663999999669613E-2</v>
      </c>
      <c r="O27">
        <f t="shared" ca="1" si="3"/>
        <v>-1.6045969150255832E-2</v>
      </c>
      <c r="Q27" s="2">
        <f t="shared" si="4"/>
        <v>13461.98</v>
      </c>
    </row>
    <row r="28" spans="1:21" x14ac:dyDescent="0.2">
      <c r="A28" s="54" t="s">
        <v>83</v>
      </c>
      <c r="B28" s="55" t="s">
        <v>37</v>
      </c>
      <c r="C28" s="54">
        <v>28494.55</v>
      </c>
      <c r="D28" s="54" t="s">
        <v>57</v>
      </c>
      <c r="E28">
        <f t="shared" si="0"/>
        <v>903.03300162086839</v>
      </c>
      <c r="F28">
        <f t="shared" si="1"/>
        <v>903</v>
      </c>
      <c r="G28">
        <f t="shared" si="2"/>
        <v>4.2024000002129469E-2</v>
      </c>
      <c r="I28">
        <f t="shared" si="5"/>
        <v>4.2024000002129469E-2</v>
      </c>
      <c r="O28">
        <f t="shared" ca="1" si="3"/>
        <v>-1.588920551994533E-2</v>
      </c>
      <c r="Q28" s="2">
        <f t="shared" si="4"/>
        <v>13476.05</v>
      </c>
    </row>
    <row r="29" spans="1:21" x14ac:dyDescent="0.2">
      <c r="A29" s="54" t="s">
        <v>83</v>
      </c>
      <c r="B29" s="55" t="s">
        <v>37</v>
      </c>
      <c r="C29" s="54">
        <v>29313.29</v>
      </c>
      <c r="D29" s="54" t="s">
        <v>57</v>
      </c>
      <c r="E29">
        <f t="shared" si="0"/>
        <v>1545.9929071330764</v>
      </c>
      <c r="F29">
        <f t="shared" si="1"/>
        <v>1546</v>
      </c>
      <c r="G29">
        <f t="shared" si="2"/>
        <v>-9.0319999981147703E-3</v>
      </c>
      <c r="I29">
        <f t="shared" si="5"/>
        <v>-9.0319999981147703E-3</v>
      </c>
      <c r="O29">
        <f t="shared" ca="1" si="3"/>
        <v>-6.7256587663405316E-3</v>
      </c>
      <c r="Q29" s="2">
        <f t="shared" si="4"/>
        <v>14294.79</v>
      </c>
    </row>
    <row r="30" spans="1:21" x14ac:dyDescent="0.2">
      <c r="A30" s="54" t="s">
        <v>103</v>
      </c>
      <c r="B30" s="55" t="s">
        <v>37</v>
      </c>
      <c r="C30" s="54">
        <v>30371.473000000002</v>
      </c>
      <c r="D30" s="54" t="s">
        <v>57</v>
      </c>
      <c r="E30">
        <f t="shared" si="0"/>
        <v>2376.9883900637064</v>
      </c>
      <c r="F30">
        <f t="shared" si="1"/>
        <v>2377</v>
      </c>
      <c r="G30">
        <f t="shared" si="2"/>
        <v>-1.4783999995415797E-2</v>
      </c>
      <c r="I30">
        <f t="shared" si="5"/>
        <v>-1.4783999995415797E-2</v>
      </c>
      <c r="O30">
        <f t="shared" ca="1" si="3"/>
        <v>5.1171209416619387E-3</v>
      </c>
      <c r="Q30" s="2">
        <f t="shared" si="4"/>
        <v>15352.973000000002</v>
      </c>
    </row>
    <row r="31" spans="1:21" x14ac:dyDescent="0.2">
      <c r="A31" s="54" t="s">
        <v>83</v>
      </c>
      <c r="B31" s="55" t="s">
        <v>37</v>
      </c>
      <c r="C31" s="54">
        <v>30380.38</v>
      </c>
      <c r="D31" s="54" t="s">
        <v>57</v>
      </c>
      <c r="E31">
        <f t="shared" si="0"/>
        <v>2383.9830939726357</v>
      </c>
      <c r="F31">
        <f t="shared" si="1"/>
        <v>2384</v>
      </c>
      <c r="G31">
        <f t="shared" si="2"/>
        <v>-2.1527999997488223E-2</v>
      </c>
      <c r="I31">
        <f t="shared" si="5"/>
        <v>-2.1527999997488223E-2</v>
      </c>
      <c r="O31">
        <f t="shared" ca="1" si="3"/>
        <v>5.216879615495898E-3</v>
      </c>
      <c r="Q31" s="2">
        <f t="shared" si="4"/>
        <v>15361.880000000001</v>
      </c>
    </row>
    <row r="32" spans="1:21" x14ac:dyDescent="0.2">
      <c r="A32" s="54" t="s">
        <v>83</v>
      </c>
      <c r="B32" s="55" t="s">
        <v>37</v>
      </c>
      <c r="C32" s="54">
        <v>30431.33</v>
      </c>
      <c r="D32" s="54" t="s">
        <v>57</v>
      </c>
      <c r="E32">
        <f t="shared" si="0"/>
        <v>2423.9943395278146</v>
      </c>
      <c r="F32">
        <f t="shared" si="1"/>
        <v>2424</v>
      </c>
      <c r="G32">
        <f t="shared" si="2"/>
        <v>-7.20799999544397E-3</v>
      </c>
      <c r="I32">
        <f t="shared" si="5"/>
        <v>-7.20799999544397E-3</v>
      </c>
      <c r="O32">
        <f t="shared" ca="1" si="3"/>
        <v>5.7869291802613576E-3</v>
      </c>
      <c r="Q32" s="2">
        <f t="shared" si="4"/>
        <v>15412.830000000002</v>
      </c>
    </row>
    <row r="33" spans="1:31" x14ac:dyDescent="0.2">
      <c r="A33" s="54" t="s">
        <v>83</v>
      </c>
      <c r="B33" s="55" t="s">
        <v>37</v>
      </c>
      <c r="C33" s="54">
        <v>30618.6</v>
      </c>
      <c r="D33" s="54" t="s">
        <v>57</v>
      </c>
      <c r="E33">
        <f t="shared" si="0"/>
        <v>2571.0582444369056</v>
      </c>
      <c r="F33">
        <f t="shared" si="1"/>
        <v>2571</v>
      </c>
      <c r="G33">
        <f t="shared" si="2"/>
        <v>7.4167999999190215E-2</v>
      </c>
      <c r="I33">
        <f t="shared" si="5"/>
        <v>7.4167999999190215E-2</v>
      </c>
      <c r="O33">
        <f t="shared" ca="1" si="3"/>
        <v>7.8818613307744326E-3</v>
      </c>
      <c r="Q33" s="2">
        <f t="shared" si="4"/>
        <v>15600.099999999999</v>
      </c>
    </row>
    <row r="34" spans="1:31" x14ac:dyDescent="0.2">
      <c r="A34" s="54" t="s">
        <v>83</v>
      </c>
      <c r="B34" s="55" t="s">
        <v>37</v>
      </c>
      <c r="C34" s="54">
        <v>30780.3</v>
      </c>
      <c r="D34" s="54" t="s">
        <v>57</v>
      </c>
      <c r="E34">
        <f t="shared" si="0"/>
        <v>2698.0419226758145</v>
      </c>
      <c r="F34">
        <f t="shared" si="1"/>
        <v>2698</v>
      </c>
      <c r="G34">
        <f t="shared" si="2"/>
        <v>5.3384000002552057E-2</v>
      </c>
      <c r="I34">
        <f t="shared" si="5"/>
        <v>5.3384000002552057E-2</v>
      </c>
      <c r="O34">
        <f t="shared" ca="1" si="3"/>
        <v>9.6917686989047708E-3</v>
      </c>
      <c r="Q34" s="2">
        <f t="shared" si="4"/>
        <v>15761.8</v>
      </c>
    </row>
    <row r="35" spans="1:31" x14ac:dyDescent="0.2">
      <c r="A35" s="54" t="s">
        <v>83</v>
      </c>
      <c r="B35" s="55" t="s">
        <v>37</v>
      </c>
      <c r="C35" s="54">
        <v>31028.62</v>
      </c>
      <c r="D35" s="54" t="s">
        <v>57</v>
      </c>
      <c r="E35">
        <f t="shared" si="0"/>
        <v>2893.0486448791889</v>
      </c>
      <c r="F35">
        <f t="shared" si="1"/>
        <v>2893</v>
      </c>
      <c r="G35">
        <f t="shared" si="2"/>
        <v>6.1944000000949018E-2</v>
      </c>
      <c r="I35">
        <f t="shared" si="5"/>
        <v>6.1944000000949018E-2</v>
      </c>
      <c r="O35">
        <f t="shared" ca="1" si="3"/>
        <v>1.2470760327136399E-2</v>
      </c>
      <c r="Q35" s="2">
        <f t="shared" si="4"/>
        <v>16010.119999999999</v>
      </c>
    </row>
    <row r="36" spans="1:31" x14ac:dyDescent="0.2">
      <c r="A36" s="54" t="s">
        <v>83</v>
      </c>
      <c r="B36" s="55" t="s">
        <v>37</v>
      </c>
      <c r="C36" s="54">
        <v>31470.43</v>
      </c>
      <c r="D36" s="54" t="s">
        <v>57</v>
      </c>
      <c r="E36">
        <f t="shared" si="0"/>
        <v>3240.0038636963336</v>
      </c>
      <c r="F36">
        <f t="shared" si="1"/>
        <v>3240</v>
      </c>
      <c r="G36">
        <f t="shared" si="2"/>
        <v>4.9199999994016252E-3</v>
      </c>
      <c r="I36">
        <f t="shared" si="5"/>
        <v>4.9199999994016252E-3</v>
      </c>
      <c r="O36">
        <f t="shared" ca="1" si="3"/>
        <v>1.7415940301476779E-2</v>
      </c>
      <c r="Q36" s="2">
        <f t="shared" si="4"/>
        <v>16451.93</v>
      </c>
    </row>
    <row r="37" spans="1:31" x14ac:dyDescent="0.2">
      <c r="A37" s="54" t="s">
        <v>103</v>
      </c>
      <c r="B37" s="55" t="s">
        <v>37</v>
      </c>
      <c r="C37" s="54">
        <v>31787.503000000001</v>
      </c>
      <c r="D37" s="54" t="s">
        <v>57</v>
      </c>
      <c r="E37">
        <f t="shared" si="0"/>
        <v>3489.0026009272888</v>
      </c>
      <c r="F37">
        <f t="shared" si="1"/>
        <v>3489</v>
      </c>
      <c r="G37">
        <f t="shared" si="2"/>
        <v>3.3120000007329509E-3</v>
      </c>
      <c r="I37">
        <f t="shared" si="5"/>
        <v>3.3120000007329509E-3</v>
      </c>
      <c r="O37">
        <f t="shared" ca="1" si="3"/>
        <v>2.0964498842141785E-2</v>
      </c>
      <c r="Q37" s="2">
        <f t="shared" si="4"/>
        <v>16769.003000000001</v>
      </c>
    </row>
    <row r="38" spans="1:31" x14ac:dyDescent="0.2">
      <c r="A38" s="54" t="s">
        <v>103</v>
      </c>
      <c r="B38" s="55" t="s">
        <v>37</v>
      </c>
      <c r="C38" s="54">
        <v>31824.464</v>
      </c>
      <c r="D38" s="54" t="s">
        <v>57</v>
      </c>
      <c r="E38">
        <f t="shared" si="0"/>
        <v>3518.0282269717427</v>
      </c>
      <c r="F38">
        <f t="shared" si="1"/>
        <v>3518</v>
      </c>
      <c r="G38">
        <f t="shared" si="2"/>
        <v>3.5944000002928078E-2</v>
      </c>
      <c r="I38">
        <f t="shared" si="5"/>
        <v>3.5944000002928078E-2</v>
      </c>
      <c r="O38">
        <f t="shared" ca="1" si="3"/>
        <v>2.1377784776596742E-2</v>
      </c>
      <c r="Q38" s="2">
        <f t="shared" si="4"/>
        <v>16805.964</v>
      </c>
    </row>
    <row r="39" spans="1:31" x14ac:dyDescent="0.2">
      <c r="A39" s="54" t="s">
        <v>83</v>
      </c>
      <c r="B39" s="55" t="s">
        <v>37</v>
      </c>
      <c r="C39" s="54">
        <v>32174.53</v>
      </c>
      <c r="D39" s="54" t="s">
        <v>57</v>
      </c>
      <c r="E39">
        <f t="shared" si="0"/>
        <v>3792.9365034490556</v>
      </c>
      <c r="F39">
        <f t="shared" si="1"/>
        <v>3793</v>
      </c>
      <c r="G39">
        <f t="shared" si="2"/>
        <v>-8.0856000000494532E-2</v>
      </c>
      <c r="I39">
        <f t="shared" si="5"/>
        <v>-8.0856000000494532E-2</v>
      </c>
      <c r="O39">
        <f t="shared" ca="1" si="3"/>
        <v>2.5296875534359289E-2</v>
      </c>
      <c r="Q39" s="2">
        <f t="shared" si="4"/>
        <v>17156.03</v>
      </c>
    </row>
    <row r="40" spans="1:31" x14ac:dyDescent="0.2">
      <c r="A40" s="54" t="s">
        <v>83</v>
      </c>
      <c r="B40" s="55" t="s">
        <v>37</v>
      </c>
      <c r="C40" s="54">
        <v>32229.42</v>
      </c>
      <c r="D40" s="54" t="s">
        <v>57</v>
      </c>
      <c r="E40">
        <f t="shared" si="0"/>
        <v>3836.0418472866168</v>
      </c>
      <c r="F40">
        <f t="shared" si="1"/>
        <v>3836</v>
      </c>
      <c r="G40">
        <f t="shared" si="2"/>
        <v>5.3287999999156455E-2</v>
      </c>
      <c r="I40">
        <f t="shared" si="5"/>
        <v>5.3287999999156455E-2</v>
      </c>
      <c r="O40">
        <f t="shared" ca="1" si="3"/>
        <v>2.5909678816482165E-2</v>
      </c>
      <c r="Q40" s="2">
        <f t="shared" si="4"/>
        <v>17210.919999999998</v>
      </c>
    </row>
    <row r="41" spans="1:31" x14ac:dyDescent="0.2">
      <c r="A41" s="54" t="s">
        <v>83</v>
      </c>
      <c r="B41" s="55" t="s">
        <v>37</v>
      </c>
      <c r="C41" s="54">
        <v>33356.35</v>
      </c>
      <c r="D41" s="54" t="s">
        <v>57</v>
      </c>
      <c r="E41">
        <f t="shared" si="0"/>
        <v>4721.024633420031</v>
      </c>
      <c r="F41">
        <f t="shared" si="1"/>
        <v>4721</v>
      </c>
      <c r="G41">
        <f t="shared" si="2"/>
        <v>3.1368000003567431E-2</v>
      </c>
      <c r="I41">
        <f t="shared" si="5"/>
        <v>3.1368000003567431E-2</v>
      </c>
      <c r="O41">
        <f t="shared" ca="1" si="3"/>
        <v>3.8522025436918003E-2</v>
      </c>
      <c r="Q41" s="2">
        <f t="shared" si="4"/>
        <v>18337.849999999999</v>
      </c>
    </row>
    <row r="42" spans="1:31" x14ac:dyDescent="0.2">
      <c r="A42" t="s">
        <v>30</v>
      </c>
      <c r="C42" s="14">
        <v>42471.413999999997</v>
      </c>
      <c r="D42" s="14"/>
      <c r="E42">
        <f t="shared" si="0"/>
        <v>11879.122061391934</v>
      </c>
      <c r="F42">
        <f t="shared" si="1"/>
        <v>11879</v>
      </c>
      <c r="G42">
        <f t="shared" si="2"/>
        <v>0.15543199999956414</v>
      </c>
      <c r="I42">
        <f t="shared" si="5"/>
        <v>0.15543199999956414</v>
      </c>
      <c r="O42">
        <f t="shared" ca="1" si="3"/>
        <v>0.14053239505169743</v>
      </c>
      <c r="Q42" s="2">
        <f t="shared" si="4"/>
        <v>27452.913999999997</v>
      </c>
      <c r="AA42">
        <v>10</v>
      </c>
      <c r="AC42" t="s">
        <v>29</v>
      </c>
      <c r="AE42" t="s">
        <v>31</v>
      </c>
    </row>
    <row r="43" spans="1:31" x14ac:dyDescent="0.2">
      <c r="A43" t="s">
        <v>32</v>
      </c>
      <c r="C43" s="14">
        <v>42806.3</v>
      </c>
      <c r="D43" s="14"/>
      <c r="E43">
        <f t="shared" si="0"/>
        <v>12142.10942113662</v>
      </c>
      <c r="F43">
        <f t="shared" si="1"/>
        <v>12142</v>
      </c>
      <c r="G43">
        <f t="shared" si="2"/>
        <v>0.13933600000746083</v>
      </c>
      <c r="I43">
        <f t="shared" si="5"/>
        <v>0.13933600000746083</v>
      </c>
      <c r="O43">
        <f t="shared" ca="1" si="3"/>
        <v>0.14428047094003033</v>
      </c>
      <c r="Q43" s="2">
        <f t="shared" si="4"/>
        <v>27787.800000000003</v>
      </c>
      <c r="AA43">
        <v>5</v>
      </c>
      <c r="AC43" t="s">
        <v>29</v>
      </c>
      <c r="AE43" t="s">
        <v>31</v>
      </c>
    </row>
    <row r="44" spans="1:31" x14ac:dyDescent="0.2">
      <c r="A44" s="54" t="s">
        <v>147</v>
      </c>
      <c r="B44" s="55" t="s">
        <v>37</v>
      </c>
      <c r="C44" s="54">
        <v>45671.472999999998</v>
      </c>
      <c r="D44" s="54" t="s">
        <v>57</v>
      </c>
      <c r="E44">
        <f t="shared" si="0"/>
        <v>14392.141618606052</v>
      </c>
      <c r="F44">
        <f t="shared" si="1"/>
        <v>14392</v>
      </c>
      <c r="G44">
        <f t="shared" si="2"/>
        <v>0.18033599999762373</v>
      </c>
      <c r="I44">
        <f t="shared" si="5"/>
        <v>0.18033599999762373</v>
      </c>
      <c r="O44">
        <f t="shared" ca="1" si="3"/>
        <v>0.17634575895808757</v>
      </c>
      <c r="Q44" s="2">
        <f t="shared" si="4"/>
        <v>30652.972999999998</v>
      </c>
    </row>
    <row r="45" spans="1:31" x14ac:dyDescent="0.2">
      <c r="A45" s="54" t="s">
        <v>147</v>
      </c>
      <c r="B45" s="55" t="s">
        <v>37</v>
      </c>
      <c r="C45" s="54">
        <v>45671.472999999998</v>
      </c>
      <c r="D45" s="54" t="s">
        <v>57</v>
      </c>
      <c r="E45">
        <f t="shared" si="0"/>
        <v>14392.141618606052</v>
      </c>
      <c r="F45">
        <f t="shared" si="1"/>
        <v>14392</v>
      </c>
      <c r="G45">
        <f t="shared" si="2"/>
        <v>0.18033599999762373</v>
      </c>
      <c r="I45">
        <f t="shared" si="5"/>
        <v>0.18033599999762373</v>
      </c>
      <c r="O45">
        <f t="shared" ca="1" si="3"/>
        <v>0.17634575895808757</v>
      </c>
      <c r="Q45" s="2">
        <f t="shared" si="4"/>
        <v>30652.972999999998</v>
      </c>
    </row>
    <row r="46" spans="1:31" x14ac:dyDescent="0.2">
      <c r="A46" s="54" t="s">
        <v>152</v>
      </c>
      <c r="B46" s="55" t="s">
        <v>37</v>
      </c>
      <c r="C46" s="54">
        <v>46090.425000000003</v>
      </c>
      <c r="D46" s="54" t="s">
        <v>57</v>
      </c>
      <c r="E46">
        <f t="shared" si="0"/>
        <v>14721.146355560584</v>
      </c>
      <c r="F46">
        <f t="shared" si="1"/>
        <v>14721</v>
      </c>
      <c r="G46">
        <f t="shared" si="2"/>
        <v>0.18636800000240328</v>
      </c>
      <c r="I46">
        <f t="shared" si="5"/>
        <v>0.18636800000240328</v>
      </c>
      <c r="O46">
        <f t="shared" ca="1" si="3"/>
        <v>0.18103441662828348</v>
      </c>
      <c r="Q46" s="2">
        <f t="shared" si="4"/>
        <v>31071.925000000003</v>
      </c>
    </row>
    <row r="47" spans="1:31" x14ac:dyDescent="0.2">
      <c r="A47" s="54" t="s">
        <v>157</v>
      </c>
      <c r="B47" s="55" t="s">
        <v>37</v>
      </c>
      <c r="C47" s="54">
        <v>46467.364999999998</v>
      </c>
      <c r="D47" s="54" t="s">
        <v>57</v>
      </c>
      <c r="E47">
        <f t="shared" si="0"/>
        <v>15017.158895296969</v>
      </c>
      <c r="F47">
        <f t="shared" si="1"/>
        <v>15017</v>
      </c>
      <c r="G47">
        <f t="shared" si="2"/>
        <v>0.20233599999482976</v>
      </c>
      <c r="I47">
        <f t="shared" si="5"/>
        <v>0.20233599999482976</v>
      </c>
      <c r="O47">
        <f t="shared" ca="1" si="3"/>
        <v>0.18525278340754792</v>
      </c>
      <c r="Q47" s="2">
        <f t="shared" si="4"/>
        <v>31448.864999999998</v>
      </c>
    </row>
    <row r="48" spans="1:31" x14ac:dyDescent="0.2">
      <c r="A48" s="54" t="s">
        <v>161</v>
      </c>
      <c r="B48" s="55" t="s">
        <v>37</v>
      </c>
      <c r="C48" s="54">
        <v>46770.421000000002</v>
      </c>
      <c r="D48" s="54" t="s">
        <v>57</v>
      </c>
      <c r="E48">
        <f t="shared" si="0"/>
        <v>15255.15002450149</v>
      </c>
      <c r="F48">
        <f t="shared" si="1"/>
        <v>15255</v>
      </c>
      <c r="G48">
        <f t="shared" si="2"/>
        <v>0.19104000000515953</v>
      </c>
      <c r="I48">
        <f t="shared" si="5"/>
        <v>0.19104000000515953</v>
      </c>
      <c r="O48">
        <f t="shared" ca="1" si="3"/>
        <v>0.18864457831790241</v>
      </c>
      <c r="Q48" s="2">
        <f t="shared" si="4"/>
        <v>31751.921000000002</v>
      </c>
    </row>
    <row r="49" spans="1:31" x14ac:dyDescent="0.2">
      <c r="A49" s="54" t="s">
        <v>166</v>
      </c>
      <c r="B49" s="55" t="s">
        <v>37</v>
      </c>
      <c r="C49" s="54">
        <v>47529.366999999998</v>
      </c>
      <c r="D49" s="54" t="s">
        <v>57</v>
      </c>
      <c r="E49">
        <f t="shared" si="0"/>
        <v>15851.153454709938</v>
      </c>
      <c r="F49">
        <f t="shared" si="1"/>
        <v>15851</v>
      </c>
      <c r="G49">
        <f t="shared" si="2"/>
        <v>0.19540799999958836</v>
      </c>
      <c r="I49">
        <f t="shared" si="5"/>
        <v>0.19540799999958836</v>
      </c>
      <c r="O49">
        <f t="shared" ca="1" si="3"/>
        <v>0.19713831683290778</v>
      </c>
      <c r="Q49" s="2">
        <f t="shared" si="4"/>
        <v>32510.866999999998</v>
      </c>
    </row>
    <row r="50" spans="1:31" x14ac:dyDescent="0.2">
      <c r="A50" s="54" t="s">
        <v>166</v>
      </c>
      <c r="B50" s="55" t="s">
        <v>37</v>
      </c>
      <c r="C50" s="54">
        <v>47557.38</v>
      </c>
      <c r="D50" s="54" t="s">
        <v>57</v>
      </c>
      <c r="E50">
        <f t="shared" si="0"/>
        <v>15873.152179376028</v>
      </c>
      <c r="F50">
        <f t="shared" si="1"/>
        <v>15873</v>
      </c>
      <c r="G50">
        <f t="shared" si="2"/>
        <v>0.19378399999550311</v>
      </c>
      <c r="I50">
        <f t="shared" si="5"/>
        <v>0.19378399999550311</v>
      </c>
      <c r="O50">
        <f t="shared" ca="1" si="3"/>
        <v>0.19745184409352878</v>
      </c>
      <c r="Q50" s="2">
        <f t="shared" si="4"/>
        <v>32538.879999999997</v>
      </c>
    </row>
    <row r="51" spans="1:31" x14ac:dyDescent="0.2">
      <c r="A51" s="54" t="s">
        <v>166</v>
      </c>
      <c r="B51" s="55" t="s">
        <v>37</v>
      </c>
      <c r="C51" s="54">
        <v>47557.381000000001</v>
      </c>
      <c r="D51" s="54" t="s">
        <v>57</v>
      </c>
      <c r="E51">
        <f t="shared" si="0"/>
        <v>15873.152964680163</v>
      </c>
      <c r="F51">
        <f t="shared" si="1"/>
        <v>15873</v>
      </c>
      <c r="G51">
        <f t="shared" si="2"/>
        <v>0.19478399999934481</v>
      </c>
      <c r="I51">
        <f t="shared" si="5"/>
        <v>0.19478399999934481</v>
      </c>
      <c r="O51">
        <f t="shared" ca="1" si="3"/>
        <v>0.19745184409352878</v>
      </c>
      <c r="Q51" s="2">
        <f t="shared" si="4"/>
        <v>32538.881000000001</v>
      </c>
    </row>
    <row r="52" spans="1:31" x14ac:dyDescent="0.2">
      <c r="A52" s="54" t="s">
        <v>175</v>
      </c>
      <c r="B52" s="55" t="s">
        <v>37</v>
      </c>
      <c r="C52" s="54">
        <v>48275.587</v>
      </c>
      <c r="D52" s="54" t="s">
        <v>57</v>
      </c>
      <c r="E52">
        <f t="shared" si="0"/>
        <v>16437.163104527121</v>
      </c>
      <c r="F52">
        <f t="shared" si="1"/>
        <v>16437</v>
      </c>
      <c r="G52">
        <f t="shared" si="2"/>
        <v>0.20769599999766797</v>
      </c>
      <c r="I52">
        <f t="shared" si="5"/>
        <v>0.20769599999766797</v>
      </c>
      <c r="O52">
        <f t="shared" ca="1" si="3"/>
        <v>0.20548954295672181</v>
      </c>
      <c r="Q52" s="2">
        <f t="shared" si="4"/>
        <v>33257.087</v>
      </c>
    </row>
    <row r="53" spans="1:31" x14ac:dyDescent="0.2">
      <c r="A53" s="54" t="s">
        <v>179</v>
      </c>
      <c r="B53" s="55" t="s">
        <v>37</v>
      </c>
      <c r="C53" s="54">
        <v>48619.400999999998</v>
      </c>
      <c r="D53" s="54" t="s">
        <v>57</v>
      </c>
      <c r="E53">
        <f t="shared" si="0"/>
        <v>16707.161659567515</v>
      </c>
      <c r="F53">
        <f t="shared" si="1"/>
        <v>16707</v>
      </c>
      <c r="G53">
        <f t="shared" si="2"/>
        <v>0.20585600000049453</v>
      </c>
      <c r="I53">
        <f t="shared" si="5"/>
        <v>0.20585600000049453</v>
      </c>
      <c r="O53">
        <f t="shared" ca="1" si="3"/>
        <v>0.20933737751888867</v>
      </c>
      <c r="Q53" s="2">
        <f t="shared" si="4"/>
        <v>33600.900999999998</v>
      </c>
    </row>
    <row r="54" spans="1:31" x14ac:dyDescent="0.2">
      <c r="A54" t="s">
        <v>38</v>
      </c>
      <c r="C54" s="14">
        <v>49006.510999999999</v>
      </c>
      <c r="D54" s="14">
        <v>1E-3</v>
      </c>
      <c r="E54">
        <f t="shared" si="0"/>
        <v>17011.160742332289</v>
      </c>
      <c r="F54">
        <f t="shared" si="1"/>
        <v>17011</v>
      </c>
      <c r="G54">
        <f t="shared" si="2"/>
        <v>0.20468799999798648</v>
      </c>
      <c r="K54">
        <f>+G54</f>
        <v>0.20468799999798648</v>
      </c>
      <c r="O54">
        <f t="shared" ca="1" si="3"/>
        <v>0.21366975421110618</v>
      </c>
      <c r="Q54" s="2">
        <f t="shared" si="4"/>
        <v>33988.010999999999</v>
      </c>
    </row>
    <row r="55" spans="1:31" x14ac:dyDescent="0.2">
      <c r="A55" t="s">
        <v>34</v>
      </c>
      <c r="C55" s="14">
        <v>50519.311999999998</v>
      </c>
      <c r="D55" s="14">
        <v>5.0000000000000001E-3</v>
      </c>
      <c r="E55">
        <f t="shared" si="0"/>
        <v>18199.169619410204</v>
      </c>
      <c r="F55">
        <f t="shared" si="1"/>
        <v>18199</v>
      </c>
      <c r="G55">
        <f t="shared" si="2"/>
        <v>0.21599199999764096</v>
      </c>
      <c r="I55">
        <f>+G55</f>
        <v>0.21599199999764096</v>
      </c>
      <c r="O55">
        <f t="shared" ca="1" si="3"/>
        <v>0.23060022628464041</v>
      </c>
      <c r="Q55" s="2">
        <f t="shared" si="4"/>
        <v>35500.811999999998</v>
      </c>
      <c r="AA55">
        <v>7</v>
      </c>
      <c r="AC55" t="s">
        <v>33</v>
      </c>
      <c r="AE55" t="s">
        <v>31</v>
      </c>
    </row>
    <row r="56" spans="1:31" x14ac:dyDescent="0.2">
      <c r="A56" s="54" t="s">
        <v>195</v>
      </c>
      <c r="B56" s="55" t="s">
        <v>37</v>
      </c>
      <c r="C56" s="54">
        <v>50831.306299999997</v>
      </c>
      <c r="D56" s="54" t="s">
        <v>57</v>
      </c>
      <c r="E56">
        <f t="shared" si="0"/>
        <v>18444.180032543001</v>
      </c>
      <c r="F56">
        <f t="shared" si="1"/>
        <v>18444</v>
      </c>
      <c r="G56">
        <f t="shared" si="2"/>
        <v>0.22925199999735923</v>
      </c>
      <c r="J56">
        <f>+G56</f>
        <v>0.22925199999735923</v>
      </c>
      <c r="O56">
        <f t="shared" ca="1" si="3"/>
        <v>0.23409177986882887</v>
      </c>
      <c r="Q56" s="2">
        <f t="shared" si="4"/>
        <v>35812.806299999997</v>
      </c>
    </row>
    <row r="57" spans="1:31" x14ac:dyDescent="0.2">
      <c r="A57" t="s">
        <v>35</v>
      </c>
      <c r="C57" s="14">
        <v>50859.313000000002</v>
      </c>
      <c r="D57" s="14">
        <v>8.0000000000000002E-3</v>
      </c>
      <c r="E57">
        <f t="shared" si="0"/>
        <v>18466.173809793057</v>
      </c>
      <c r="F57">
        <f t="shared" si="1"/>
        <v>18466</v>
      </c>
      <c r="G57">
        <f t="shared" si="2"/>
        <v>0.22132800000690622</v>
      </c>
      <c r="I57">
        <f>+G57</f>
        <v>0.22132800000690622</v>
      </c>
      <c r="O57">
        <f t="shared" ca="1" si="3"/>
        <v>0.23440530712944987</v>
      </c>
      <c r="Q57" s="2">
        <f t="shared" si="4"/>
        <v>35840.813000000002</v>
      </c>
      <c r="AA57">
        <v>10</v>
      </c>
      <c r="AC57" t="s">
        <v>33</v>
      </c>
      <c r="AE57" t="s">
        <v>31</v>
      </c>
    </row>
    <row r="58" spans="1:31" x14ac:dyDescent="0.2">
      <c r="A58" t="s">
        <v>36</v>
      </c>
      <c r="B58" s="5" t="s">
        <v>37</v>
      </c>
      <c r="C58" s="15">
        <v>51195.497000000003</v>
      </c>
      <c r="D58" s="15">
        <v>1.6000000000000001E-3</v>
      </c>
      <c r="E58">
        <f t="shared" si="0"/>
        <v>18730.180494301836</v>
      </c>
      <c r="F58">
        <f t="shared" si="1"/>
        <v>18730</v>
      </c>
      <c r="G58">
        <f t="shared" si="2"/>
        <v>0.2298399999999674</v>
      </c>
      <c r="K58">
        <f>+G58</f>
        <v>0.2298399999999674</v>
      </c>
      <c r="O58">
        <f t="shared" ca="1" si="3"/>
        <v>0.23816763425690193</v>
      </c>
      <c r="Q58" s="2">
        <f t="shared" si="4"/>
        <v>36176.997000000003</v>
      </c>
    </row>
    <row r="59" spans="1:31" x14ac:dyDescent="0.2">
      <c r="A59" s="11" t="s">
        <v>42</v>
      </c>
      <c r="B59" s="12" t="s">
        <v>37</v>
      </c>
      <c r="C59" s="13">
        <v>52694.296300000002</v>
      </c>
      <c r="D59" s="13">
        <v>8.9999999999999998E-4</v>
      </c>
      <c r="E59">
        <f t="shared" si="0"/>
        <v>19907.193778506542</v>
      </c>
      <c r="F59">
        <f t="shared" si="1"/>
        <v>19907</v>
      </c>
      <c r="G59">
        <f t="shared" si="2"/>
        <v>0.24675600000045961</v>
      </c>
      <c r="K59">
        <f>+G59</f>
        <v>0.24675600000045961</v>
      </c>
      <c r="O59">
        <f t="shared" ca="1" si="3"/>
        <v>0.25494134270012558</v>
      </c>
      <c r="Q59" s="2">
        <f t="shared" si="4"/>
        <v>37675.796300000002</v>
      </c>
    </row>
    <row r="60" spans="1:31" x14ac:dyDescent="0.2">
      <c r="A60" s="33" t="s">
        <v>40</v>
      </c>
      <c r="B60" s="34"/>
      <c r="C60" s="35">
        <v>53407.405400000003</v>
      </c>
      <c r="D60" s="35">
        <v>5.7999999999999996E-3</v>
      </c>
      <c r="E60" s="36">
        <f t="shared" si="0"/>
        <v>20467.201301720132</v>
      </c>
      <c r="F60">
        <f t="shared" si="1"/>
        <v>20467</v>
      </c>
      <c r="G60">
        <f t="shared" si="2"/>
        <v>0.25633600000583101</v>
      </c>
      <c r="J60">
        <f>+G60</f>
        <v>0.25633600000583101</v>
      </c>
      <c r="O60">
        <f t="shared" ca="1" si="3"/>
        <v>0.2629220366068421</v>
      </c>
      <c r="Q60" s="2">
        <f t="shared" si="4"/>
        <v>38388.905400000003</v>
      </c>
    </row>
    <row r="61" spans="1:31" x14ac:dyDescent="0.2">
      <c r="A61" s="37" t="s">
        <v>56</v>
      </c>
      <c r="B61" s="39" t="s">
        <v>37</v>
      </c>
      <c r="C61" s="37">
        <v>53784.336810000001</v>
      </c>
      <c r="D61" s="37" t="s">
        <v>57</v>
      </c>
      <c r="E61" s="36">
        <f t="shared" si="0"/>
        <v>20763.207095694022</v>
      </c>
      <c r="F61">
        <f t="shared" si="1"/>
        <v>20763</v>
      </c>
      <c r="G61">
        <f t="shared" si="2"/>
        <v>0.2637140000006184</v>
      </c>
      <c r="K61">
        <f>+G61</f>
        <v>0.2637140000006184</v>
      </c>
      <c r="O61">
        <f t="shared" ca="1" si="3"/>
        <v>0.26714040338610656</v>
      </c>
      <c r="Q61" s="2">
        <f t="shared" si="4"/>
        <v>38765.836810000001</v>
      </c>
    </row>
    <row r="62" spans="1:31" x14ac:dyDescent="0.2">
      <c r="A62" s="37" t="s">
        <v>49</v>
      </c>
      <c r="B62" s="38" t="s">
        <v>37</v>
      </c>
      <c r="C62" s="35">
        <v>54097.590700000001</v>
      </c>
      <c r="D62" s="35">
        <v>5.0000000000000001E-4</v>
      </c>
      <c r="E62" s="36">
        <f t="shared" si="0"/>
        <v>21009.206670059182</v>
      </c>
      <c r="F62">
        <f t="shared" si="1"/>
        <v>21009</v>
      </c>
      <c r="G62">
        <f t="shared" si="2"/>
        <v>0.26317199999903096</v>
      </c>
      <c r="K62">
        <f>+G62</f>
        <v>0.26317199999903096</v>
      </c>
      <c r="O62">
        <f t="shared" ca="1" si="3"/>
        <v>0.2706462082094141</v>
      </c>
      <c r="Q62" s="2">
        <f t="shared" si="4"/>
        <v>39079.090700000001</v>
      </c>
    </row>
    <row r="63" spans="1:31" x14ac:dyDescent="0.2">
      <c r="A63" s="37" t="s">
        <v>53</v>
      </c>
      <c r="B63" s="39" t="s">
        <v>37</v>
      </c>
      <c r="C63" s="37">
        <v>54856.546900000001</v>
      </c>
      <c r="D63" s="37">
        <v>1.1000000000000001E-3</v>
      </c>
      <c r="E63" s="36">
        <f t="shared" si="0"/>
        <v>21605.218110369784</v>
      </c>
      <c r="F63">
        <f t="shared" si="1"/>
        <v>21605</v>
      </c>
      <c r="G63">
        <f t="shared" si="2"/>
        <v>0.27774000000499655</v>
      </c>
      <c r="J63">
        <f>+G63</f>
        <v>0.27774000000499655</v>
      </c>
      <c r="O63">
        <f t="shared" ca="1" si="3"/>
        <v>0.27913994672441944</v>
      </c>
      <c r="Q63" s="2">
        <f t="shared" si="4"/>
        <v>39838.046900000001</v>
      </c>
    </row>
    <row r="64" spans="1:31" x14ac:dyDescent="0.2">
      <c r="A64" s="37" t="s">
        <v>54</v>
      </c>
      <c r="B64" s="39" t="s">
        <v>55</v>
      </c>
      <c r="C64" s="37">
        <v>55263.400300000001</v>
      </c>
      <c r="D64" s="37">
        <v>1.7299999999999999E-2</v>
      </c>
      <c r="E64" s="36">
        <f t="shared" si="0"/>
        <v>21924.721766745824</v>
      </c>
      <c r="F64">
        <f t="shared" si="1"/>
        <v>21924.5</v>
      </c>
      <c r="G64">
        <f t="shared" si="2"/>
        <v>0.28239600000233622</v>
      </c>
      <c r="J64">
        <f>+G64</f>
        <v>0.28239600000233622</v>
      </c>
      <c r="O64">
        <f t="shared" ca="1" si="3"/>
        <v>0.28369321762298361</v>
      </c>
      <c r="Q64" s="2">
        <f t="shared" si="4"/>
        <v>40244.900300000001</v>
      </c>
    </row>
    <row r="65" spans="1:17" x14ac:dyDescent="0.2">
      <c r="A65" s="57" t="s">
        <v>58</v>
      </c>
      <c r="B65" s="57"/>
      <c r="C65" s="58">
        <v>55578.5726</v>
      </c>
      <c r="D65" s="58">
        <v>2.9999999999999997E-4</v>
      </c>
      <c r="E65" s="36">
        <f t="shared" si="0"/>
        <v>22172.227876411976</v>
      </c>
      <c r="F65">
        <f t="shared" si="1"/>
        <v>22172</v>
      </c>
      <c r="G65">
        <f t="shared" si="2"/>
        <v>0.29017599999497179</v>
      </c>
      <c r="J65">
        <f>+G65</f>
        <v>0.29017599999497179</v>
      </c>
      <c r="O65">
        <f t="shared" ca="1" si="3"/>
        <v>0.2872203993049699</v>
      </c>
      <c r="Q65" s="2">
        <f t="shared" si="4"/>
        <v>40560.0726</v>
      </c>
    </row>
    <row r="66" spans="1:17" x14ac:dyDescent="0.2">
      <c r="A66" s="59" t="s">
        <v>246</v>
      </c>
      <c r="B66" s="60" t="s">
        <v>37</v>
      </c>
      <c r="C66" s="61">
        <v>57446.657399999996</v>
      </c>
      <c r="D66" s="61">
        <v>1E-4</v>
      </c>
      <c r="E66" s="36">
        <f>+(C66-C$7)/C$8</f>
        <v>23639.242589870202</v>
      </c>
      <c r="F66">
        <f t="shared" si="1"/>
        <v>23639</v>
      </c>
      <c r="G66">
        <f>+C66-(C$7+F66*C$8)</f>
        <v>0.30891199999314267</v>
      </c>
      <c r="K66">
        <f>+G66</f>
        <v>0.30891199999314267</v>
      </c>
      <c r="O66">
        <f ca="1">+C$11+C$12*F66</f>
        <v>0.30812696709274323</v>
      </c>
      <c r="Q66" s="2">
        <f>+C66-15018.5</f>
        <v>42428.157399999996</v>
      </c>
    </row>
    <row r="67" spans="1:17" x14ac:dyDescent="0.2">
      <c r="A67" s="62" t="s">
        <v>0</v>
      </c>
      <c r="B67" s="63" t="s">
        <v>37</v>
      </c>
      <c r="C67" s="62">
        <v>58140.6633</v>
      </c>
      <c r="D67" s="62">
        <v>1E-4</v>
      </c>
      <c r="E67" s="36">
        <f>+(C67-C$7)/C$8</f>
        <v>24184.248291178206</v>
      </c>
      <c r="F67">
        <f t="shared" si="1"/>
        <v>24184</v>
      </c>
      <c r="G67">
        <f>+C67-(C$7+F67*C$8)</f>
        <v>0.31617199999891454</v>
      </c>
      <c r="K67">
        <f>+G67</f>
        <v>0.31617199999891454</v>
      </c>
      <c r="O67">
        <f ca="1">+C$11+C$12*F67</f>
        <v>0.31589389241267263</v>
      </c>
      <c r="Q67" s="2">
        <f>+C67-15018.5</f>
        <v>43122.1633</v>
      </c>
    </row>
    <row r="68" spans="1:17" x14ac:dyDescent="0.2">
      <c r="A68" s="64" t="s">
        <v>247</v>
      </c>
      <c r="B68" s="65" t="s">
        <v>37</v>
      </c>
      <c r="C68" s="66">
        <v>57772.6495</v>
      </c>
      <c r="D68" s="66">
        <v>1E-4</v>
      </c>
      <c r="E68" s="36">
        <f>+(C68-C$7)/C$8</f>
        <v>23895.245533190093</v>
      </c>
      <c r="F68">
        <f>ROUND(2*E68,0)/2</f>
        <v>23895</v>
      </c>
      <c r="G68">
        <f>+C68-(C$7+F68*C$8)</f>
        <v>0.31265999999595806</v>
      </c>
      <c r="K68">
        <f>+G68</f>
        <v>0.31265999999595806</v>
      </c>
      <c r="O68">
        <f ca="1">+C$11+C$12*F68</f>
        <v>0.31177528430724222</v>
      </c>
      <c r="Q68" s="2">
        <f>+C68-15018.5</f>
        <v>42754.1495</v>
      </c>
    </row>
    <row r="69" spans="1:17" x14ac:dyDescent="0.2">
      <c r="A69" s="67" t="s">
        <v>248</v>
      </c>
      <c r="B69" s="68" t="s">
        <v>55</v>
      </c>
      <c r="C69" s="69">
        <v>57783.479979999829</v>
      </c>
      <c r="D69" s="69">
        <v>8.9999999999999998E-4</v>
      </c>
      <c r="E69" s="36">
        <f>+(C69-C$7)/C$8</f>
        <v>23903.750753891833</v>
      </c>
      <c r="F69" s="70">
        <f>ROUND(2*E69,0)/2-0.5</f>
        <v>23903.5</v>
      </c>
      <c r="G69">
        <f>+C69-(C$7+F69*C$8)</f>
        <v>0.31930799983092584</v>
      </c>
      <c r="K69">
        <f>+G69</f>
        <v>0.31930799983092584</v>
      </c>
      <c r="O69">
        <f ca="1">+C$11+C$12*F69</f>
        <v>0.3118964198397548</v>
      </c>
      <c r="Q69" s="2">
        <f>+C69-15018.5</f>
        <v>42764.979979999829</v>
      </c>
    </row>
  </sheetData>
  <protectedRanges>
    <protectedRange sqref="A68:D69" name="Range1_1"/>
  </protectedRanges>
  <phoneticPr fontId="7" type="noConversion"/>
  <hyperlinks>
    <hyperlink ref="H64242" r:id="rId1" display="http://vsolj.cetus-net.org/bulletin.html"/>
    <hyperlink ref="H64235" r:id="rId2" display="https://www.aavso.org/ejaavso"/>
    <hyperlink ref="I64242" r:id="rId3" display="http://vsolj.cetus-net.org/bulletin.html"/>
    <hyperlink ref="AQ57893" r:id="rId4" display="http://cdsbib.u-strasbg.fr/cgi-bin/cdsbib?1990RMxAA..21..381G"/>
    <hyperlink ref="H64239" r:id="rId5" display="https://www.aavso.org/ejaavso"/>
    <hyperlink ref="AP5257" r:id="rId6" display="http://cdsbib.u-strasbg.fr/cgi-bin/cdsbib?1990RMxAA..21..381G"/>
    <hyperlink ref="AP5260" r:id="rId7" display="http://cdsbib.u-strasbg.fr/cgi-bin/cdsbib?1990RMxAA..21..381G"/>
    <hyperlink ref="AP5258" r:id="rId8" display="http://cdsbib.u-strasbg.fr/cgi-bin/cdsbib?1990RMxAA..21..381G"/>
    <hyperlink ref="AP5242" r:id="rId9" display="http://cdsbib.u-strasbg.fr/cgi-bin/cdsbib?1990RMxAA..21..381G"/>
    <hyperlink ref="AQ5471" r:id="rId10" display="http://cdsbib.u-strasbg.fr/cgi-bin/cdsbib?1990RMxAA..21..381G"/>
    <hyperlink ref="AQ5475" r:id="rId11" display="http://cdsbib.u-strasbg.fr/cgi-bin/cdsbib?1990RMxAA..21..381G"/>
    <hyperlink ref="AQ65155" r:id="rId12" display="http://cdsbib.u-strasbg.fr/cgi-bin/cdsbib?1990RMxAA..21..381G"/>
    <hyperlink ref="I2363" r:id="rId13" display="http://vsolj.cetus-net.org/bulletin.html"/>
    <hyperlink ref="H2363" r:id="rId14" display="http://vsolj.cetus-net.org/bulletin.html"/>
    <hyperlink ref="AQ280" r:id="rId15" display="http://cdsbib.u-strasbg.fr/cgi-bin/cdsbib?1990RMxAA..21..381G"/>
    <hyperlink ref="AQ279" r:id="rId16" display="http://cdsbib.u-strasbg.fr/cgi-bin/cdsbib?1990RMxAA..21..381G"/>
    <hyperlink ref="AP3533" r:id="rId17" display="http://cdsbib.u-strasbg.fr/cgi-bin/cdsbib?1990RMxAA..21..381G"/>
    <hyperlink ref="AP3551" r:id="rId18" display="http://cdsbib.u-strasbg.fr/cgi-bin/cdsbib?1990RMxAA..21..381G"/>
    <hyperlink ref="AP3552" r:id="rId19" display="http://cdsbib.u-strasbg.fr/cgi-bin/cdsbib?1990RMxAA..21..381G"/>
    <hyperlink ref="AP354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3"/>
  <sheetViews>
    <sheetView topLeftCell="A7" workbookViewId="0">
      <selection activeCell="A23" sqref="A23:D54"/>
    </sheetView>
  </sheetViews>
  <sheetFormatPr defaultRowHeight="12.75" x14ac:dyDescent="0.2"/>
  <cols>
    <col min="1" max="1" width="19.7109375" style="41" customWidth="1"/>
    <col min="2" max="2" width="4.42578125" style="17" customWidth="1"/>
    <col min="3" max="3" width="12.7109375" style="4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0" t="s">
        <v>59</v>
      </c>
      <c r="I1" s="42" t="s">
        <v>60</v>
      </c>
      <c r="J1" s="43" t="s">
        <v>61</v>
      </c>
    </row>
    <row r="2" spans="1:16" x14ac:dyDescent="0.2">
      <c r="I2" s="44" t="s">
        <v>62</v>
      </c>
      <c r="J2" s="45" t="s">
        <v>63</v>
      </c>
    </row>
    <row r="3" spans="1:16" x14ac:dyDescent="0.2">
      <c r="A3" s="46" t="s">
        <v>64</v>
      </c>
      <c r="I3" s="44" t="s">
        <v>65</v>
      </c>
      <c r="J3" s="45" t="s">
        <v>66</v>
      </c>
    </row>
    <row r="4" spans="1:16" x14ac:dyDescent="0.2">
      <c r="I4" s="44" t="s">
        <v>67</v>
      </c>
      <c r="J4" s="45" t="s">
        <v>66</v>
      </c>
    </row>
    <row r="5" spans="1:16" ht="13.5" thickBot="1" x14ac:dyDescent="0.25">
      <c r="I5" s="47" t="s">
        <v>68</v>
      </c>
      <c r="J5" s="48" t="s">
        <v>57</v>
      </c>
    </row>
    <row r="10" spans="1:16" ht="13.5" thickBot="1" x14ac:dyDescent="0.25"/>
    <row r="11" spans="1:16" ht="12.75" customHeight="1" thickBot="1" x14ac:dyDescent="0.25">
      <c r="A11" s="41" t="str">
        <f t="shared" ref="A11:A54" si="0">P11</f>
        <v> BBS 21 </v>
      </c>
      <c r="B11" s="5" t="str">
        <f t="shared" ref="B11:B54" si="1">IF(H11=INT(H11),"I","II")</f>
        <v>I</v>
      </c>
      <c r="C11" s="41">
        <f t="shared" ref="C11:C54" si="2">1*G11</f>
        <v>42471.413999999997</v>
      </c>
      <c r="D11" s="17" t="str">
        <f t="shared" ref="D11:D54" si="3">VLOOKUP(F11,I$1:J$5,2,FALSE)</f>
        <v>vis</v>
      </c>
      <c r="E11" s="49">
        <f>VLOOKUP(C11,Active!C$21:E$972,3,FALSE)</f>
        <v>11879.122061391934</v>
      </c>
      <c r="F11" s="5" t="s">
        <v>68</v>
      </c>
      <c r="G11" s="17" t="str">
        <f t="shared" ref="G11:G54" si="4">MID(I11,3,LEN(I11)-3)</f>
        <v>42471.414</v>
      </c>
      <c r="H11" s="41">
        <f t="shared" ref="H11:H54" si="5">1*K11</f>
        <v>11879</v>
      </c>
      <c r="I11" s="50" t="s">
        <v>133</v>
      </c>
      <c r="J11" s="51" t="s">
        <v>134</v>
      </c>
      <c r="K11" s="50">
        <v>11879</v>
      </c>
      <c r="L11" s="50" t="s">
        <v>135</v>
      </c>
      <c r="M11" s="51" t="s">
        <v>136</v>
      </c>
      <c r="N11" s="51"/>
      <c r="O11" s="52" t="s">
        <v>137</v>
      </c>
      <c r="P11" s="52" t="s">
        <v>138</v>
      </c>
    </row>
    <row r="12" spans="1:16" ht="12.75" customHeight="1" thickBot="1" x14ac:dyDescent="0.25">
      <c r="A12" s="41" t="str">
        <f t="shared" si="0"/>
        <v> BBS 26 </v>
      </c>
      <c r="B12" s="5" t="str">
        <f t="shared" si="1"/>
        <v>I</v>
      </c>
      <c r="C12" s="41">
        <f t="shared" si="2"/>
        <v>42806.3</v>
      </c>
      <c r="D12" s="17" t="str">
        <f t="shared" si="3"/>
        <v>vis</v>
      </c>
      <c r="E12" s="49">
        <f>VLOOKUP(C12,Active!C$21:E$972,3,FALSE)</f>
        <v>12142.10942113662</v>
      </c>
      <c r="F12" s="5" t="s">
        <v>68</v>
      </c>
      <c r="G12" s="17" t="str">
        <f t="shared" si="4"/>
        <v>42806.300</v>
      </c>
      <c r="H12" s="41">
        <f t="shared" si="5"/>
        <v>12142</v>
      </c>
      <c r="I12" s="50" t="s">
        <v>139</v>
      </c>
      <c r="J12" s="51" t="s">
        <v>140</v>
      </c>
      <c r="K12" s="50">
        <v>12142</v>
      </c>
      <c r="L12" s="50" t="s">
        <v>141</v>
      </c>
      <c r="M12" s="51" t="s">
        <v>136</v>
      </c>
      <c r="N12" s="51"/>
      <c r="O12" s="52" t="s">
        <v>137</v>
      </c>
      <c r="P12" s="52" t="s">
        <v>142</v>
      </c>
    </row>
    <row r="13" spans="1:16" ht="12.75" customHeight="1" thickBot="1" x14ac:dyDescent="0.25">
      <c r="A13" s="41" t="str">
        <f t="shared" si="0"/>
        <v>IBVS 3877 </v>
      </c>
      <c r="B13" s="5" t="str">
        <f t="shared" si="1"/>
        <v>I</v>
      </c>
      <c r="C13" s="41">
        <f t="shared" si="2"/>
        <v>49006.510999999999</v>
      </c>
      <c r="D13" s="17" t="str">
        <f t="shared" si="3"/>
        <v>vis</v>
      </c>
      <c r="E13" s="49">
        <f>VLOOKUP(C13,Active!C$21:E$972,3,FALSE)</f>
        <v>17011.160742332289</v>
      </c>
      <c r="F13" s="5" t="s">
        <v>68</v>
      </c>
      <c r="G13" s="17" t="str">
        <f t="shared" si="4"/>
        <v>49006.511</v>
      </c>
      <c r="H13" s="41">
        <f t="shared" si="5"/>
        <v>17011</v>
      </c>
      <c r="I13" s="50" t="s">
        <v>180</v>
      </c>
      <c r="J13" s="51" t="s">
        <v>181</v>
      </c>
      <c r="K13" s="50">
        <v>17011</v>
      </c>
      <c r="L13" s="50" t="s">
        <v>182</v>
      </c>
      <c r="M13" s="51" t="s">
        <v>183</v>
      </c>
      <c r="N13" s="51" t="s">
        <v>184</v>
      </c>
      <c r="O13" s="52" t="s">
        <v>146</v>
      </c>
      <c r="P13" s="53" t="s">
        <v>185</v>
      </c>
    </row>
    <row r="14" spans="1:16" ht="12.75" customHeight="1" thickBot="1" x14ac:dyDescent="0.25">
      <c r="A14" s="41" t="str">
        <f t="shared" si="0"/>
        <v> BBS 114 </v>
      </c>
      <c r="B14" s="5" t="str">
        <f t="shared" si="1"/>
        <v>I</v>
      </c>
      <c r="C14" s="41">
        <f t="shared" si="2"/>
        <v>50519.311999999998</v>
      </c>
      <c r="D14" s="17" t="str">
        <f t="shared" si="3"/>
        <v>vis</v>
      </c>
      <c r="E14" s="49">
        <f>VLOOKUP(C14,Active!C$21:E$972,3,FALSE)</f>
        <v>18199.169619410204</v>
      </c>
      <c r="F14" s="5" t="s">
        <v>68</v>
      </c>
      <c r="G14" s="17" t="str">
        <f t="shared" si="4"/>
        <v>50519.312</v>
      </c>
      <c r="H14" s="41">
        <f t="shared" si="5"/>
        <v>18199</v>
      </c>
      <c r="I14" s="50" t="s">
        <v>186</v>
      </c>
      <c r="J14" s="51" t="s">
        <v>187</v>
      </c>
      <c r="K14" s="50">
        <v>18199</v>
      </c>
      <c r="L14" s="50" t="s">
        <v>188</v>
      </c>
      <c r="M14" s="51" t="s">
        <v>136</v>
      </c>
      <c r="N14" s="51"/>
      <c r="O14" s="52" t="s">
        <v>189</v>
      </c>
      <c r="P14" s="52" t="s">
        <v>190</v>
      </c>
    </row>
    <row r="15" spans="1:16" ht="12.75" customHeight="1" thickBot="1" x14ac:dyDescent="0.25">
      <c r="A15" s="41" t="str">
        <f t="shared" si="0"/>
        <v> BBS 117 </v>
      </c>
      <c r="B15" s="5" t="str">
        <f t="shared" si="1"/>
        <v>I</v>
      </c>
      <c r="C15" s="41">
        <f t="shared" si="2"/>
        <v>50859.313000000002</v>
      </c>
      <c r="D15" s="17" t="str">
        <f t="shared" si="3"/>
        <v>vis</v>
      </c>
      <c r="E15" s="49">
        <f>VLOOKUP(C15,Active!C$21:E$972,3,FALSE)</f>
        <v>18466.173809793057</v>
      </c>
      <c r="F15" s="5" t="s">
        <v>68</v>
      </c>
      <c r="G15" s="17" t="str">
        <f t="shared" si="4"/>
        <v>50859.313</v>
      </c>
      <c r="H15" s="41">
        <f t="shared" si="5"/>
        <v>18466</v>
      </c>
      <c r="I15" s="50" t="s">
        <v>196</v>
      </c>
      <c r="J15" s="51" t="s">
        <v>197</v>
      </c>
      <c r="K15" s="50">
        <v>18466</v>
      </c>
      <c r="L15" s="50" t="s">
        <v>198</v>
      </c>
      <c r="M15" s="51" t="s">
        <v>136</v>
      </c>
      <c r="N15" s="51"/>
      <c r="O15" s="52" t="s">
        <v>189</v>
      </c>
      <c r="P15" s="52" t="s">
        <v>199</v>
      </c>
    </row>
    <row r="16" spans="1:16" ht="12.75" customHeight="1" thickBot="1" x14ac:dyDescent="0.25">
      <c r="A16" s="41" t="str">
        <f t="shared" si="0"/>
        <v>IBVS 5263 </v>
      </c>
      <c r="B16" s="5" t="str">
        <f t="shared" si="1"/>
        <v>I</v>
      </c>
      <c r="C16" s="41">
        <f t="shared" si="2"/>
        <v>51195.497000000003</v>
      </c>
      <c r="D16" s="17" t="str">
        <f t="shared" si="3"/>
        <v>vis</v>
      </c>
      <c r="E16" s="49">
        <f>VLOOKUP(C16,Active!C$21:E$972,3,FALSE)</f>
        <v>18730.180494301836</v>
      </c>
      <c r="F16" s="5" t="s">
        <v>68</v>
      </c>
      <c r="G16" s="17" t="str">
        <f t="shared" si="4"/>
        <v>51195.4970</v>
      </c>
      <c r="H16" s="41">
        <f t="shared" si="5"/>
        <v>18730</v>
      </c>
      <c r="I16" s="50" t="s">
        <v>200</v>
      </c>
      <c r="J16" s="51" t="s">
        <v>201</v>
      </c>
      <c r="K16" s="50">
        <v>18730</v>
      </c>
      <c r="L16" s="50" t="s">
        <v>202</v>
      </c>
      <c r="M16" s="51" t="s">
        <v>183</v>
      </c>
      <c r="N16" s="51" t="s">
        <v>184</v>
      </c>
      <c r="O16" s="52" t="s">
        <v>203</v>
      </c>
      <c r="P16" s="53" t="s">
        <v>204</v>
      </c>
    </row>
    <row r="17" spans="1:16" ht="12.75" customHeight="1" thickBot="1" x14ac:dyDescent="0.25">
      <c r="A17" s="41" t="str">
        <f t="shared" si="0"/>
        <v> BBS 129 </v>
      </c>
      <c r="B17" s="5" t="str">
        <f t="shared" si="1"/>
        <v>I</v>
      </c>
      <c r="C17" s="41">
        <f t="shared" si="2"/>
        <v>52694.296300000002</v>
      </c>
      <c r="D17" s="17" t="str">
        <f t="shared" si="3"/>
        <v>vis</v>
      </c>
      <c r="E17" s="49">
        <f>VLOOKUP(C17,Active!C$21:E$972,3,FALSE)</f>
        <v>19907.193778506542</v>
      </c>
      <c r="F17" s="5" t="s">
        <v>68</v>
      </c>
      <c r="G17" s="17" t="str">
        <f t="shared" si="4"/>
        <v>52694.2963</v>
      </c>
      <c r="H17" s="41">
        <f t="shared" si="5"/>
        <v>19907</v>
      </c>
      <c r="I17" s="50" t="s">
        <v>205</v>
      </c>
      <c r="J17" s="51" t="s">
        <v>206</v>
      </c>
      <c r="K17" s="50">
        <v>19907</v>
      </c>
      <c r="L17" s="50" t="s">
        <v>207</v>
      </c>
      <c r="M17" s="51" t="s">
        <v>183</v>
      </c>
      <c r="N17" s="51" t="s">
        <v>184</v>
      </c>
      <c r="O17" s="52" t="s">
        <v>208</v>
      </c>
      <c r="P17" s="52" t="s">
        <v>209</v>
      </c>
    </row>
    <row r="18" spans="1:16" ht="12.75" customHeight="1" thickBot="1" x14ac:dyDescent="0.25">
      <c r="A18" s="41" t="str">
        <f t="shared" si="0"/>
        <v>BAVM 173 </v>
      </c>
      <c r="B18" s="5" t="str">
        <f t="shared" si="1"/>
        <v>I</v>
      </c>
      <c r="C18" s="41">
        <f t="shared" si="2"/>
        <v>53407.405400000003</v>
      </c>
      <c r="D18" s="17" t="str">
        <f t="shared" si="3"/>
        <v>vis</v>
      </c>
      <c r="E18" s="49">
        <f>VLOOKUP(C18,Active!C$21:E$972,3,FALSE)</f>
        <v>20467.201301720132</v>
      </c>
      <c r="F18" s="5" t="s">
        <v>68</v>
      </c>
      <c r="G18" s="17" t="str">
        <f t="shared" si="4"/>
        <v>53407.4054</v>
      </c>
      <c r="H18" s="41">
        <f t="shared" si="5"/>
        <v>20467</v>
      </c>
      <c r="I18" s="50" t="s">
        <v>210</v>
      </c>
      <c r="J18" s="51" t="s">
        <v>211</v>
      </c>
      <c r="K18" s="50">
        <v>20467</v>
      </c>
      <c r="L18" s="50" t="s">
        <v>212</v>
      </c>
      <c r="M18" s="51" t="s">
        <v>183</v>
      </c>
      <c r="N18" s="51" t="s">
        <v>213</v>
      </c>
      <c r="O18" s="52" t="s">
        <v>214</v>
      </c>
      <c r="P18" s="53" t="s">
        <v>215</v>
      </c>
    </row>
    <row r="19" spans="1:16" ht="12.75" customHeight="1" thickBot="1" x14ac:dyDescent="0.25">
      <c r="A19" s="41" t="str">
        <f t="shared" si="0"/>
        <v> BBS 133 (=IBVS 5781) </v>
      </c>
      <c r="B19" s="5" t="str">
        <f t="shared" si="1"/>
        <v>I</v>
      </c>
      <c r="C19" s="41">
        <f t="shared" si="2"/>
        <v>54097.590700000001</v>
      </c>
      <c r="D19" s="17" t="str">
        <f t="shared" si="3"/>
        <v>vis</v>
      </c>
      <c r="E19" s="49">
        <f>VLOOKUP(C19,Active!C$21:E$972,3,FALSE)</f>
        <v>21009.206670059182</v>
      </c>
      <c r="F19" s="5" t="s">
        <v>68</v>
      </c>
      <c r="G19" s="17" t="str">
        <f t="shared" si="4"/>
        <v>54097.5907</v>
      </c>
      <c r="H19" s="41">
        <f t="shared" si="5"/>
        <v>21009</v>
      </c>
      <c r="I19" s="50" t="s">
        <v>222</v>
      </c>
      <c r="J19" s="51" t="s">
        <v>223</v>
      </c>
      <c r="K19" s="50" t="s">
        <v>224</v>
      </c>
      <c r="L19" s="50" t="s">
        <v>225</v>
      </c>
      <c r="M19" s="51" t="s">
        <v>226</v>
      </c>
      <c r="N19" s="51" t="s">
        <v>68</v>
      </c>
      <c r="O19" s="52" t="s">
        <v>227</v>
      </c>
      <c r="P19" s="52" t="s">
        <v>228</v>
      </c>
    </row>
    <row r="20" spans="1:16" ht="12.75" customHeight="1" thickBot="1" x14ac:dyDescent="0.25">
      <c r="A20" s="41" t="str">
        <f t="shared" si="0"/>
        <v>BAVM 209 </v>
      </c>
      <c r="B20" s="5" t="str">
        <f t="shared" si="1"/>
        <v>I</v>
      </c>
      <c r="C20" s="41">
        <f t="shared" si="2"/>
        <v>54856.546900000001</v>
      </c>
      <c r="D20" s="17" t="str">
        <f t="shared" si="3"/>
        <v>vis</v>
      </c>
      <c r="E20" s="49">
        <f>VLOOKUP(C20,Active!C$21:E$972,3,FALSE)</f>
        <v>21605.218110369784</v>
      </c>
      <c r="F20" s="5" t="s">
        <v>68</v>
      </c>
      <c r="G20" s="17" t="str">
        <f t="shared" si="4"/>
        <v>54856.5469</v>
      </c>
      <c r="H20" s="41">
        <f t="shared" si="5"/>
        <v>21605</v>
      </c>
      <c r="I20" s="50" t="s">
        <v>229</v>
      </c>
      <c r="J20" s="51" t="s">
        <v>230</v>
      </c>
      <c r="K20" s="50" t="s">
        <v>231</v>
      </c>
      <c r="L20" s="50" t="s">
        <v>232</v>
      </c>
      <c r="M20" s="51" t="s">
        <v>226</v>
      </c>
      <c r="N20" s="51" t="s">
        <v>213</v>
      </c>
      <c r="O20" s="52" t="s">
        <v>233</v>
      </c>
      <c r="P20" s="53" t="s">
        <v>234</v>
      </c>
    </row>
    <row r="21" spans="1:16" ht="12.75" customHeight="1" thickBot="1" x14ac:dyDescent="0.25">
      <c r="A21" s="41" t="str">
        <f t="shared" si="0"/>
        <v>BAVM 214 </v>
      </c>
      <c r="B21" s="5" t="str">
        <f t="shared" si="1"/>
        <v>II</v>
      </c>
      <c r="C21" s="41">
        <f t="shared" si="2"/>
        <v>55263.400300000001</v>
      </c>
      <c r="D21" s="17" t="str">
        <f t="shared" si="3"/>
        <v>vis</v>
      </c>
      <c r="E21" s="49">
        <f>VLOOKUP(C21,Active!C$21:E$972,3,FALSE)</f>
        <v>21924.721766745824</v>
      </c>
      <c r="F21" s="5" t="s">
        <v>68</v>
      </c>
      <c r="G21" s="17" t="str">
        <f t="shared" si="4"/>
        <v>55263.4003</v>
      </c>
      <c r="H21" s="41">
        <f t="shared" si="5"/>
        <v>21924.5</v>
      </c>
      <c r="I21" s="50" t="s">
        <v>235</v>
      </c>
      <c r="J21" s="51" t="s">
        <v>236</v>
      </c>
      <c r="K21" s="50" t="s">
        <v>237</v>
      </c>
      <c r="L21" s="50" t="s">
        <v>238</v>
      </c>
      <c r="M21" s="51" t="s">
        <v>226</v>
      </c>
      <c r="N21" s="51" t="s">
        <v>213</v>
      </c>
      <c r="O21" s="52" t="s">
        <v>233</v>
      </c>
      <c r="P21" s="53" t="s">
        <v>239</v>
      </c>
    </row>
    <row r="22" spans="1:16" ht="12.75" customHeight="1" thickBot="1" x14ac:dyDescent="0.25">
      <c r="A22" s="41" t="str">
        <f t="shared" si="0"/>
        <v>BAVM 215 </v>
      </c>
      <c r="B22" s="5" t="str">
        <f t="shared" si="1"/>
        <v>I</v>
      </c>
      <c r="C22" s="41">
        <f t="shared" si="2"/>
        <v>55578.5726</v>
      </c>
      <c r="D22" s="17" t="str">
        <f t="shared" si="3"/>
        <v>vis</v>
      </c>
      <c r="E22" s="49">
        <f>VLOOKUP(C22,Active!C$21:E$972,3,FALSE)</f>
        <v>22172.227876411976</v>
      </c>
      <c r="F22" s="5" t="s">
        <v>68</v>
      </c>
      <c r="G22" s="17" t="str">
        <f t="shared" si="4"/>
        <v>55578.5726</v>
      </c>
      <c r="H22" s="41">
        <f t="shared" si="5"/>
        <v>22172</v>
      </c>
      <c r="I22" s="50" t="s">
        <v>240</v>
      </c>
      <c r="J22" s="51" t="s">
        <v>241</v>
      </c>
      <c r="K22" s="50" t="s">
        <v>242</v>
      </c>
      <c r="L22" s="50" t="s">
        <v>243</v>
      </c>
      <c r="M22" s="51" t="s">
        <v>226</v>
      </c>
      <c r="N22" s="51" t="s">
        <v>213</v>
      </c>
      <c r="O22" s="52" t="s">
        <v>233</v>
      </c>
      <c r="P22" s="53" t="s">
        <v>244</v>
      </c>
    </row>
    <row r="23" spans="1:16" ht="12.75" customHeight="1" thickBot="1" x14ac:dyDescent="0.25">
      <c r="A23" s="41" t="str">
        <f t="shared" si="0"/>
        <v> PZ 6.316 </v>
      </c>
      <c r="B23" s="5" t="str">
        <f t="shared" si="1"/>
        <v>I</v>
      </c>
      <c r="C23" s="41">
        <f t="shared" si="2"/>
        <v>14721.27</v>
      </c>
      <c r="D23" s="17" t="str">
        <f t="shared" si="3"/>
        <v>vis</v>
      </c>
      <c r="E23" s="49">
        <f>VLOOKUP(C23,Active!C$21:E$972,3,FALSE)</f>
        <v>-9913.1807016221228</v>
      </c>
      <c r="F23" s="5" t="s">
        <v>68</v>
      </c>
      <c r="G23" s="17" t="str">
        <f t="shared" si="4"/>
        <v>14721.27</v>
      </c>
      <c r="H23" s="41">
        <f t="shared" si="5"/>
        <v>-9913</v>
      </c>
      <c r="I23" s="50" t="s">
        <v>70</v>
      </c>
      <c r="J23" s="51" t="s">
        <v>71</v>
      </c>
      <c r="K23" s="50">
        <v>-9913</v>
      </c>
      <c r="L23" s="50" t="s">
        <v>72</v>
      </c>
      <c r="M23" s="51" t="s">
        <v>73</v>
      </c>
      <c r="N23" s="51"/>
      <c r="O23" s="52" t="s">
        <v>74</v>
      </c>
      <c r="P23" s="52" t="s">
        <v>75</v>
      </c>
    </row>
    <row r="24" spans="1:16" ht="12.75" customHeight="1" thickBot="1" x14ac:dyDescent="0.25">
      <c r="A24" s="41" t="str">
        <f t="shared" si="0"/>
        <v> PZ 6.316 </v>
      </c>
      <c r="B24" s="5" t="str">
        <f t="shared" si="1"/>
        <v>I</v>
      </c>
      <c r="C24" s="41">
        <f t="shared" si="2"/>
        <v>18023.25</v>
      </c>
      <c r="D24" s="17" t="str">
        <f t="shared" si="3"/>
        <v>vis</v>
      </c>
      <c r="E24" s="49">
        <f>VLOOKUP(C24,Active!C$21:E$972,3,FALSE)</f>
        <v>-7320.1221619108628</v>
      </c>
      <c r="F24" s="5" t="s">
        <v>68</v>
      </c>
      <c r="G24" s="17" t="str">
        <f t="shared" si="4"/>
        <v>18023.25</v>
      </c>
      <c r="H24" s="41">
        <f t="shared" si="5"/>
        <v>-7320</v>
      </c>
      <c r="I24" s="50" t="s">
        <v>76</v>
      </c>
      <c r="J24" s="51" t="s">
        <v>77</v>
      </c>
      <c r="K24" s="50">
        <v>-7320</v>
      </c>
      <c r="L24" s="50" t="s">
        <v>78</v>
      </c>
      <c r="M24" s="51" t="s">
        <v>73</v>
      </c>
      <c r="N24" s="51"/>
      <c r="O24" s="52" t="s">
        <v>74</v>
      </c>
      <c r="P24" s="52" t="s">
        <v>75</v>
      </c>
    </row>
    <row r="25" spans="1:16" ht="12.75" customHeight="1" thickBot="1" x14ac:dyDescent="0.25">
      <c r="A25" s="41" t="str">
        <f t="shared" si="0"/>
        <v> VSS 2.76 </v>
      </c>
      <c r="B25" s="5" t="str">
        <f t="shared" si="1"/>
        <v>I</v>
      </c>
      <c r="C25" s="41">
        <f t="shared" si="2"/>
        <v>27344.59</v>
      </c>
      <c r="D25" s="17" t="str">
        <f t="shared" si="3"/>
        <v>vis</v>
      </c>
      <c r="E25" s="49">
        <f>VLOOKUP(C25,Active!C$21:E$972,3,FALSE)</f>
        <v>-3.5338685964929707E-2</v>
      </c>
      <c r="F25" s="5" t="s">
        <v>68</v>
      </c>
      <c r="G25" s="17" t="str">
        <f t="shared" si="4"/>
        <v>27344.59</v>
      </c>
      <c r="H25" s="41">
        <f t="shared" si="5"/>
        <v>0</v>
      </c>
      <c r="I25" s="50" t="s">
        <v>79</v>
      </c>
      <c r="J25" s="51" t="s">
        <v>80</v>
      </c>
      <c r="K25" s="50">
        <v>0</v>
      </c>
      <c r="L25" s="50" t="s">
        <v>81</v>
      </c>
      <c r="M25" s="51" t="s">
        <v>73</v>
      </c>
      <c r="N25" s="51"/>
      <c r="O25" s="52" t="s">
        <v>82</v>
      </c>
      <c r="P25" s="52" t="s">
        <v>83</v>
      </c>
    </row>
    <row r="26" spans="1:16" ht="12.75" customHeight="1" thickBot="1" x14ac:dyDescent="0.25">
      <c r="A26" s="41" t="str">
        <f t="shared" si="0"/>
        <v> VSS 2.76 </v>
      </c>
      <c r="B26" s="5" t="str">
        <f t="shared" si="1"/>
        <v>I</v>
      </c>
      <c r="C26" s="41">
        <f t="shared" si="2"/>
        <v>28126.48</v>
      </c>
      <c r="D26" s="17" t="str">
        <f t="shared" si="3"/>
        <v>vis</v>
      </c>
      <c r="E26" s="49">
        <f>VLOOKUP(C26,Active!C$21:E$972,3,FALSE)</f>
        <v>613.98610954050378</v>
      </c>
      <c r="F26" s="5" t="s">
        <v>68</v>
      </c>
      <c r="G26" s="17" t="str">
        <f t="shared" si="4"/>
        <v>28126.48</v>
      </c>
      <c r="H26" s="41">
        <f t="shared" si="5"/>
        <v>614</v>
      </c>
      <c r="I26" s="50" t="s">
        <v>84</v>
      </c>
      <c r="J26" s="51" t="s">
        <v>85</v>
      </c>
      <c r="K26" s="50">
        <v>614</v>
      </c>
      <c r="L26" s="50" t="s">
        <v>86</v>
      </c>
      <c r="M26" s="51" t="s">
        <v>73</v>
      </c>
      <c r="N26" s="51"/>
      <c r="O26" s="52" t="s">
        <v>82</v>
      </c>
      <c r="P26" s="52" t="s">
        <v>83</v>
      </c>
    </row>
    <row r="27" spans="1:16" ht="12.75" customHeight="1" thickBot="1" x14ac:dyDescent="0.25">
      <c r="A27" s="41" t="str">
        <f t="shared" si="0"/>
        <v> VSS 2.76 </v>
      </c>
      <c r="B27" s="5" t="str">
        <f t="shared" si="1"/>
        <v>I</v>
      </c>
      <c r="C27" s="41">
        <f t="shared" si="2"/>
        <v>28209.3</v>
      </c>
      <c r="D27" s="17" t="str">
        <f t="shared" si="3"/>
        <v>vis</v>
      </c>
      <c r="E27" s="49">
        <f>VLOOKUP(C27,Active!C$21:E$972,3,FALSE)</f>
        <v>679.02499780114908</v>
      </c>
      <c r="F27" s="5" t="s">
        <v>68</v>
      </c>
      <c r="G27" s="17" t="str">
        <f t="shared" si="4"/>
        <v>28209.30</v>
      </c>
      <c r="H27" s="41">
        <f t="shared" si="5"/>
        <v>679</v>
      </c>
      <c r="I27" s="50" t="s">
        <v>87</v>
      </c>
      <c r="J27" s="51" t="s">
        <v>88</v>
      </c>
      <c r="K27" s="50">
        <v>679</v>
      </c>
      <c r="L27" s="50" t="s">
        <v>89</v>
      </c>
      <c r="M27" s="51" t="s">
        <v>73</v>
      </c>
      <c r="N27" s="51"/>
      <c r="O27" s="52" t="s">
        <v>82</v>
      </c>
      <c r="P27" s="52" t="s">
        <v>83</v>
      </c>
    </row>
    <row r="28" spans="1:16" ht="12.75" customHeight="1" thickBot="1" x14ac:dyDescent="0.25">
      <c r="A28" s="41" t="str">
        <f t="shared" si="0"/>
        <v> VSS 2.76 </v>
      </c>
      <c r="B28" s="5" t="str">
        <f t="shared" si="1"/>
        <v>I</v>
      </c>
      <c r="C28" s="41">
        <f t="shared" si="2"/>
        <v>28480.48</v>
      </c>
      <c r="D28" s="17" t="str">
        <f t="shared" si="3"/>
        <v>vis</v>
      </c>
      <c r="E28" s="49">
        <f>VLOOKUP(C28,Active!C$21:E$972,3,FALSE)</f>
        <v>891.98377247540509</v>
      </c>
      <c r="F28" s="5" t="s">
        <v>68</v>
      </c>
      <c r="G28" s="17" t="str">
        <f t="shared" si="4"/>
        <v>28480.48</v>
      </c>
      <c r="H28" s="41">
        <f t="shared" si="5"/>
        <v>892</v>
      </c>
      <c r="I28" s="50" t="s">
        <v>90</v>
      </c>
      <c r="J28" s="51" t="s">
        <v>91</v>
      </c>
      <c r="K28" s="50">
        <v>892</v>
      </c>
      <c r="L28" s="50" t="s">
        <v>86</v>
      </c>
      <c r="M28" s="51" t="s">
        <v>73</v>
      </c>
      <c r="N28" s="51"/>
      <c r="O28" s="52" t="s">
        <v>82</v>
      </c>
      <c r="P28" s="52" t="s">
        <v>83</v>
      </c>
    </row>
    <row r="29" spans="1:16" ht="12.75" customHeight="1" thickBot="1" x14ac:dyDescent="0.25">
      <c r="A29" s="41" t="str">
        <f t="shared" si="0"/>
        <v> VSS 2.76 </v>
      </c>
      <c r="B29" s="5" t="str">
        <f t="shared" si="1"/>
        <v>I</v>
      </c>
      <c r="C29" s="41">
        <f t="shared" si="2"/>
        <v>28494.55</v>
      </c>
      <c r="D29" s="17" t="str">
        <f t="shared" si="3"/>
        <v>vis</v>
      </c>
      <c r="E29" s="49">
        <f>VLOOKUP(C29,Active!C$21:E$972,3,FALSE)</f>
        <v>903.03300162086839</v>
      </c>
      <c r="F29" s="5" t="s">
        <v>68</v>
      </c>
      <c r="G29" s="17" t="str">
        <f t="shared" si="4"/>
        <v>28494.55</v>
      </c>
      <c r="H29" s="41">
        <f t="shared" si="5"/>
        <v>903</v>
      </c>
      <c r="I29" s="50" t="s">
        <v>92</v>
      </c>
      <c r="J29" s="51" t="s">
        <v>93</v>
      </c>
      <c r="K29" s="50">
        <v>903</v>
      </c>
      <c r="L29" s="50" t="s">
        <v>94</v>
      </c>
      <c r="M29" s="51" t="s">
        <v>73</v>
      </c>
      <c r="N29" s="51"/>
      <c r="O29" s="52" t="s">
        <v>82</v>
      </c>
      <c r="P29" s="52" t="s">
        <v>83</v>
      </c>
    </row>
    <row r="30" spans="1:16" ht="12.75" customHeight="1" thickBot="1" x14ac:dyDescent="0.25">
      <c r="A30" s="41" t="str">
        <f t="shared" si="0"/>
        <v> VSS 2.76 </v>
      </c>
      <c r="B30" s="5" t="str">
        <f t="shared" si="1"/>
        <v>I</v>
      </c>
      <c r="C30" s="41">
        <f t="shared" si="2"/>
        <v>29313.29</v>
      </c>
      <c r="D30" s="17" t="str">
        <f t="shared" si="3"/>
        <v>vis</v>
      </c>
      <c r="E30" s="49">
        <f>VLOOKUP(C30,Active!C$21:E$972,3,FALSE)</f>
        <v>1545.9929071330764</v>
      </c>
      <c r="F30" s="5" t="s">
        <v>68</v>
      </c>
      <c r="G30" s="17" t="str">
        <f t="shared" si="4"/>
        <v>29313.29</v>
      </c>
      <c r="H30" s="41">
        <f t="shared" si="5"/>
        <v>1546</v>
      </c>
      <c r="I30" s="50" t="s">
        <v>95</v>
      </c>
      <c r="J30" s="51" t="s">
        <v>96</v>
      </c>
      <c r="K30" s="50">
        <v>1546</v>
      </c>
      <c r="L30" s="50" t="s">
        <v>97</v>
      </c>
      <c r="M30" s="51" t="s">
        <v>73</v>
      </c>
      <c r="N30" s="51"/>
      <c r="O30" s="52" t="s">
        <v>82</v>
      </c>
      <c r="P30" s="52" t="s">
        <v>83</v>
      </c>
    </row>
    <row r="31" spans="1:16" ht="12.75" customHeight="1" thickBot="1" x14ac:dyDescent="0.25">
      <c r="A31" s="41" t="str">
        <f t="shared" si="0"/>
        <v> BRNO 31.31 </v>
      </c>
      <c r="B31" s="5" t="str">
        <f t="shared" si="1"/>
        <v>I</v>
      </c>
      <c r="C31" s="41">
        <f t="shared" si="2"/>
        <v>30371.473000000002</v>
      </c>
      <c r="D31" s="17" t="str">
        <f t="shared" si="3"/>
        <v>vis</v>
      </c>
      <c r="E31" s="49">
        <f>VLOOKUP(C31,Active!C$21:E$972,3,FALSE)</f>
        <v>2376.9883900637064</v>
      </c>
      <c r="F31" s="5" t="s">
        <v>68</v>
      </c>
      <c r="G31" s="17" t="str">
        <f t="shared" si="4"/>
        <v>30371.473</v>
      </c>
      <c r="H31" s="41">
        <f t="shared" si="5"/>
        <v>2377</v>
      </c>
      <c r="I31" s="50" t="s">
        <v>98</v>
      </c>
      <c r="J31" s="51" t="s">
        <v>99</v>
      </c>
      <c r="K31" s="50">
        <v>2377</v>
      </c>
      <c r="L31" s="50" t="s">
        <v>100</v>
      </c>
      <c r="M31" s="51" t="s">
        <v>101</v>
      </c>
      <c r="N31" s="51"/>
      <c r="O31" s="52" t="s">
        <v>102</v>
      </c>
      <c r="P31" s="52" t="s">
        <v>103</v>
      </c>
    </row>
    <row r="32" spans="1:16" ht="12.75" customHeight="1" thickBot="1" x14ac:dyDescent="0.25">
      <c r="A32" s="41" t="str">
        <f t="shared" si="0"/>
        <v> VSS 2.76 </v>
      </c>
      <c r="B32" s="5" t="str">
        <f t="shared" si="1"/>
        <v>I</v>
      </c>
      <c r="C32" s="41">
        <f t="shared" si="2"/>
        <v>30380.38</v>
      </c>
      <c r="D32" s="17" t="str">
        <f t="shared" si="3"/>
        <v>vis</v>
      </c>
      <c r="E32" s="49">
        <f>VLOOKUP(C32,Active!C$21:E$972,3,FALSE)</f>
        <v>2383.9830939726357</v>
      </c>
      <c r="F32" s="5" t="s">
        <v>68</v>
      </c>
      <c r="G32" s="17" t="str">
        <f t="shared" si="4"/>
        <v>30380.38</v>
      </c>
      <c r="H32" s="41">
        <f t="shared" si="5"/>
        <v>2384</v>
      </c>
      <c r="I32" s="50" t="s">
        <v>104</v>
      </c>
      <c r="J32" s="51" t="s">
        <v>105</v>
      </c>
      <c r="K32" s="50">
        <v>2384</v>
      </c>
      <c r="L32" s="50" t="s">
        <v>86</v>
      </c>
      <c r="M32" s="51" t="s">
        <v>73</v>
      </c>
      <c r="N32" s="51"/>
      <c r="O32" s="52" t="s">
        <v>82</v>
      </c>
      <c r="P32" s="52" t="s">
        <v>83</v>
      </c>
    </row>
    <row r="33" spans="1:16" ht="12.75" customHeight="1" thickBot="1" x14ac:dyDescent="0.25">
      <c r="A33" s="41" t="str">
        <f t="shared" si="0"/>
        <v> VSS 2.76 </v>
      </c>
      <c r="B33" s="5" t="str">
        <f t="shared" si="1"/>
        <v>I</v>
      </c>
      <c r="C33" s="41">
        <f t="shared" si="2"/>
        <v>30431.33</v>
      </c>
      <c r="D33" s="17" t="str">
        <f t="shared" si="3"/>
        <v>vis</v>
      </c>
      <c r="E33" s="49">
        <f>VLOOKUP(C33,Active!C$21:E$972,3,FALSE)</f>
        <v>2423.9943395278146</v>
      </c>
      <c r="F33" s="5" t="s">
        <v>68</v>
      </c>
      <c r="G33" s="17" t="str">
        <f t="shared" si="4"/>
        <v>30431.33</v>
      </c>
      <c r="H33" s="41">
        <f t="shared" si="5"/>
        <v>2424</v>
      </c>
      <c r="I33" s="50" t="s">
        <v>106</v>
      </c>
      <c r="J33" s="51" t="s">
        <v>107</v>
      </c>
      <c r="K33" s="50">
        <v>2424</v>
      </c>
      <c r="L33" s="50" t="s">
        <v>97</v>
      </c>
      <c r="M33" s="51" t="s">
        <v>73</v>
      </c>
      <c r="N33" s="51"/>
      <c r="O33" s="52" t="s">
        <v>82</v>
      </c>
      <c r="P33" s="52" t="s">
        <v>83</v>
      </c>
    </row>
    <row r="34" spans="1:16" ht="12.75" customHeight="1" thickBot="1" x14ac:dyDescent="0.25">
      <c r="A34" s="41" t="str">
        <f t="shared" si="0"/>
        <v> VSS 2.76 </v>
      </c>
      <c r="B34" s="5" t="str">
        <f t="shared" si="1"/>
        <v>I</v>
      </c>
      <c r="C34" s="41">
        <f t="shared" si="2"/>
        <v>30618.6</v>
      </c>
      <c r="D34" s="17" t="str">
        <f t="shared" si="3"/>
        <v>vis</v>
      </c>
      <c r="E34" s="49">
        <f>VLOOKUP(C34,Active!C$21:E$972,3,FALSE)</f>
        <v>2571.0582444369056</v>
      </c>
      <c r="F34" s="5" t="s">
        <v>68</v>
      </c>
      <c r="G34" s="17" t="str">
        <f t="shared" si="4"/>
        <v>30618.60</v>
      </c>
      <c r="H34" s="41">
        <f t="shared" si="5"/>
        <v>2571</v>
      </c>
      <c r="I34" s="50" t="s">
        <v>108</v>
      </c>
      <c r="J34" s="51" t="s">
        <v>109</v>
      </c>
      <c r="K34" s="50">
        <v>2571</v>
      </c>
      <c r="L34" s="50" t="s">
        <v>110</v>
      </c>
      <c r="M34" s="51" t="s">
        <v>73</v>
      </c>
      <c r="N34" s="51"/>
      <c r="O34" s="52" t="s">
        <v>82</v>
      </c>
      <c r="P34" s="52" t="s">
        <v>83</v>
      </c>
    </row>
    <row r="35" spans="1:16" ht="12.75" customHeight="1" thickBot="1" x14ac:dyDescent="0.25">
      <c r="A35" s="41" t="str">
        <f t="shared" si="0"/>
        <v> VSS 2.76 </v>
      </c>
      <c r="B35" s="5" t="str">
        <f t="shared" si="1"/>
        <v>I</v>
      </c>
      <c r="C35" s="41">
        <f t="shared" si="2"/>
        <v>30780.3</v>
      </c>
      <c r="D35" s="17" t="str">
        <f t="shared" si="3"/>
        <v>vis</v>
      </c>
      <c r="E35" s="49">
        <f>VLOOKUP(C35,Active!C$21:E$972,3,FALSE)</f>
        <v>2698.0419226758145</v>
      </c>
      <c r="F35" s="5" t="s">
        <v>68</v>
      </c>
      <c r="G35" s="17" t="str">
        <f t="shared" si="4"/>
        <v>30780.30</v>
      </c>
      <c r="H35" s="41">
        <f t="shared" si="5"/>
        <v>2698</v>
      </c>
      <c r="I35" s="50" t="s">
        <v>111</v>
      </c>
      <c r="J35" s="51" t="s">
        <v>112</v>
      </c>
      <c r="K35" s="50">
        <v>2698</v>
      </c>
      <c r="L35" s="50" t="s">
        <v>113</v>
      </c>
      <c r="M35" s="51" t="s">
        <v>73</v>
      </c>
      <c r="N35" s="51"/>
      <c r="O35" s="52" t="s">
        <v>82</v>
      </c>
      <c r="P35" s="52" t="s">
        <v>83</v>
      </c>
    </row>
    <row r="36" spans="1:16" ht="12.75" customHeight="1" thickBot="1" x14ac:dyDescent="0.25">
      <c r="A36" s="41" t="str">
        <f t="shared" si="0"/>
        <v> VSS 2.76 </v>
      </c>
      <c r="B36" s="5" t="str">
        <f t="shared" si="1"/>
        <v>I</v>
      </c>
      <c r="C36" s="41">
        <f t="shared" si="2"/>
        <v>31028.62</v>
      </c>
      <c r="D36" s="17" t="str">
        <f t="shared" si="3"/>
        <v>vis</v>
      </c>
      <c r="E36" s="49">
        <f>VLOOKUP(C36,Active!C$21:E$972,3,FALSE)</f>
        <v>2893.0486448791889</v>
      </c>
      <c r="F36" s="5" t="s">
        <v>68</v>
      </c>
      <c r="G36" s="17" t="str">
        <f t="shared" si="4"/>
        <v>31028.62</v>
      </c>
      <c r="H36" s="41">
        <f t="shared" si="5"/>
        <v>2893</v>
      </c>
      <c r="I36" s="50" t="s">
        <v>114</v>
      </c>
      <c r="J36" s="51" t="s">
        <v>115</v>
      </c>
      <c r="K36" s="50">
        <v>2893</v>
      </c>
      <c r="L36" s="50" t="s">
        <v>116</v>
      </c>
      <c r="M36" s="51" t="s">
        <v>73</v>
      </c>
      <c r="N36" s="51"/>
      <c r="O36" s="52" t="s">
        <v>82</v>
      </c>
      <c r="P36" s="52" t="s">
        <v>83</v>
      </c>
    </row>
    <row r="37" spans="1:16" ht="12.75" customHeight="1" thickBot="1" x14ac:dyDescent="0.25">
      <c r="A37" s="41" t="str">
        <f t="shared" si="0"/>
        <v> VSS 2.76 </v>
      </c>
      <c r="B37" s="5" t="str">
        <f t="shared" si="1"/>
        <v>I</v>
      </c>
      <c r="C37" s="41">
        <f t="shared" si="2"/>
        <v>31470.43</v>
      </c>
      <c r="D37" s="17" t="str">
        <f t="shared" si="3"/>
        <v>vis</v>
      </c>
      <c r="E37" s="49">
        <f>VLOOKUP(C37,Active!C$21:E$972,3,FALSE)</f>
        <v>3240.0038636963336</v>
      </c>
      <c r="F37" s="5" t="s">
        <v>68</v>
      </c>
      <c r="G37" s="17" t="str">
        <f t="shared" si="4"/>
        <v>31470.43</v>
      </c>
      <c r="H37" s="41">
        <f t="shared" si="5"/>
        <v>3240</v>
      </c>
      <c r="I37" s="50" t="s">
        <v>117</v>
      </c>
      <c r="J37" s="51" t="s">
        <v>118</v>
      </c>
      <c r="K37" s="50">
        <v>3240</v>
      </c>
      <c r="L37" s="50" t="s">
        <v>119</v>
      </c>
      <c r="M37" s="51" t="s">
        <v>73</v>
      </c>
      <c r="N37" s="51"/>
      <c r="O37" s="52" t="s">
        <v>82</v>
      </c>
      <c r="P37" s="52" t="s">
        <v>83</v>
      </c>
    </row>
    <row r="38" spans="1:16" ht="12.75" customHeight="1" thickBot="1" x14ac:dyDescent="0.25">
      <c r="A38" s="41" t="str">
        <f t="shared" si="0"/>
        <v> BRNO 31.31 </v>
      </c>
      <c r="B38" s="5" t="str">
        <f t="shared" si="1"/>
        <v>I</v>
      </c>
      <c r="C38" s="41">
        <f t="shared" si="2"/>
        <v>31787.503000000001</v>
      </c>
      <c r="D38" s="17" t="str">
        <f t="shared" si="3"/>
        <v>vis</v>
      </c>
      <c r="E38" s="49">
        <f>VLOOKUP(C38,Active!C$21:E$972,3,FALSE)</f>
        <v>3489.0026009272888</v>
      </c>
      <c r="F38" s="5" t="s">
        <v>68</v>
      </c>
      <c r="G38" s="17" t="str">
        <f t="shared" si="4"/>
        <v>31787.503</v>
      </c>
      <c r="H38" s="41">
        <f t="shared" si="5"/>
        <v>3489</v>
      </c>
      <c r="I38" s="50" t="s">
        <v>120</v>
      </c>
      <c r="J38" s="51" t="s">
        <v>121</v>
      </c>
      <c r="K38" s="50">
        <v>3489</v>
      </c>
      <c r="L38" s="50" t="s">
        <v>122</v>
      </c>
      <c r="M38" s="51" t="s">
        <v>101</v>
      </c>
      <c r="N38" s="51"/>
      <c r="O38" s="52" t="s">
        <v>102</v>
      </c>
      <c r="P38" s="52" t="s">
        <v>103</v>
      </c>
    </row>
    <row r="39" spans="1:16" ht="12.75" customHeight="1" thickBot="1" x14ac:dyDescent="0.25">
      <c r="A39" s="41" t="str">
        <f t="shared" si="0"/>
        <v> BRNO 31.31 </v>
      </c>
      <c r="B39" s="5" t="str">
        <f t="shared" si="1"/>
        <v>I</v>
      </c>
      <c r="C39" s="41">
        <f t="shared" si="2"/>
        <v>31824.464</v>
      </c>
      <c r="D39" s="17" t="str">
        <f t="shared" si="3"/>
        <v>vis</v>
      </c>
      <c r="E39" s="49">
        <f>VLOOKUP(C39,Active!C$21:E$972,3,FALSE)</f>
        <v>3518.0282269717427</v>
      </c>
      <c r="F39" s="5" t="s">
        <v>68</v>
      </c>
      <c r="G39" s="17" t="str">
        <f t="shared" si="4"/>
        <v>31824.464</v>
      </c>
      <c r="H39" s="41">
        <f t="shared" si="5"/>
        <v>3518</v>
      </c>
      <c r="I39" s="50" t="s">
        <v>123</v>
      </c>
      <c r="J39" s="51" t="s">
        <v>124</v>
      </c>
      <c r="K39" s="50">
        <v>3518</v>
      </c>
      <c r="L39" s="50" t="s">
        <v>125</v>
      </c>
      <c r="M39" s="51" t="s">
        <v>101</v>
      </c>
      <c r="N39" s="51"/>
      <c r="O39" s="52" t="s">
        <v>102</v>
      </c>
      <c r="P39" s="52" t="s">
        <v>103</v>
      </c>
    </row>
    <row r="40" spans="1:16" ht="12.75" customHeight="1" thickBot="1" x14ac:dyDescent="0.25">
      <c r="A40" s="41" t="str">
        <f t="shared" si="0"/>
        <v> VSS 2.76 </v>
      </c>
      <c r="B40" s="5" t="str">
        <f t="shared" si="1"/>
        <v>I</v>
      </c>
      <c r="C40" s="41">
        <f t="shared" si="2"/>
        <v>32174.53</v>
      </c>
      <c r="D40" s="17" t="str">
        <f t="shared" si="3"/>
        <v>vis</v>
      </c>
      <c r="E40" s="49">
        <f>VLOOKUP(C40,Active!C$21:E$972,3,FALSE)</f>
        <v>3792.9365034490556</v>
      </c>
      <c r="F40" s="5" t="s">
        <v>68</v>
      </c>
      <c r="G40" s="17" t="str">
        <f t="shared" si="4"/>
        <v>32174.53</v>
      </c>
      <c r="H40" s="41">
        <f t="shared" si="5"/>
        <v>3793</v>
      </c>
      <c r="I40" s="50" t="s">
        <v>126</v>
      </c>
      <c r="J40" s="51" t="s">
        <v>127</v>
      </c>
      <c r="K40" s="50">
        <v>3793</v>
      </c>
      <c r="L40" s="50" t="s">
        <v>128</v>
      </c>
      <c r="M40" s="51" t="s">
        <v>73</v>
      </c>
      <c r="N40" s="51"/>
      <c r="O40" s="52" t="s">
        <v>82</v>
      </c>
      <c r="P40" s="52" t="s">
        <v>83</v>
      </c>
    </row>
    <row r="41" spans="1:16" ht="12.75" customHeight="1" thickBot="1" x14ac:dyDescent="0.25">
      <c r="A41" s="41" t="str">
        <f t="shared" si="0"/>
        <v> VSS 2.76 </v>
      </c>
      <c r="B41" s="5" t="str">
        <f t="shared" si="1"/>
        <v>I</v>
      </c>
      <c r="C41" s="41">
        <f t="shared" si="2"/>
        <v>32229.42</v>
      </c>
      <c r="D41" s="17" t="str">
        <f t="shared" si="3"/>
        <v>vis</v>
      </c>
      <c r="E41" s="49">
        <f>VLOOKUP(C41,Active!C$21:E$972,3,FALSE)</f>
        <v>3836.0418472866168</v>
      </c>
      <c r="F41" s="5" t="s">
        <v>68</v>
      </c>
      <c r="G41" s="17" t="str">
        <f t="shared" si="4"/>
        <v>32229.42</v>
      </c>
      <c r="H41" s="41">
        <f t="shared" si="5"/>
        <v>3836</v>
      </c>
      <c r="I41" s="50" t="s">
        <v>129</v>
      </c>
      <c r="J41" s="51" t="s">
        <v>130</v>
      </c>
      <c r="K41" s="50">
        <v>3836</v>
      </c>
      <c r="L41" s="50" t="s">
        <v>113</v>
      </c>
      <c r="M41" s="51" t="s">
        <v>73</v>
      </c>
      <c r="N41" s="51"/>
      <c r="O41" s="52" t="s">
        <v>82</v>
      </c>
      <c r="P41" s="52" t="s">
        <v>83</v>
      </c>
    </row>
    <row r="42" spans="1:16" ht="12.75" customHeight="1" thickBot="1" x14ac:dyDescent="0.25">
      <c r="A42" s="41" t="str">
        <f t="shared" si="0"/>
        <v> VSS 2.76 </v>
      </c>
      <c r="B42" s="5" t="str">
        <f t="shared" si="1"/>
        <v>I</v>
      </c>
      <c r="C42" s="41">
        <f t="shared" si="2"/>
        <v>33356.35</v>
      </c>
      <c r="D42" s="17" t="str">
        <f t="shared" si="3"/>
        <v>vis</v>
      </c>
      <c r="E42" s="49">
        <f>VLOOKUP(C42,Active!C$21:E$972,3,FALSE)</f>
        <v>4721.024633420031</v>
      </c>
      <c r="F42" s="5" t="s">
        <v>68</v>
      </c>
      <c r="G42" s="17" t="str">
        <f t="shared" si="4"/>
        <v>33356.35</v>
      </c>
      <c r="H42" s="41">
        <f t="shared" si="5"/>
        <v>4721</v>
      </c>
      <c r="I42" s="50" t="s">
        <v>131</v>
      </c>
      <c r="J42" s="51" t="s">
        <v>132</v>
      </c>
      <c r="K42" s="50">
        <v>4721</v>
      </c>
      <c r="L42" s="50" t="s">
        <v>89</v>
      </c>
      <c r="M42" s="51" t="s">
        <v>73</v>
      </c>
      <c r="N42" s="51"/>
      <c r="O42" s="52" t="s">
        <v>82</v>
      </c>
      <c r="P42" s="52" t="s">
        <v>83</v>
      </c>
    </row>
    <row r="43" spans="1:16" ht="12.75" customHeight="1" thickBot="1" x14ac:dyDescent="0.25">
      <c r="A43" s="41" t="str">
        <f t="shared" si="0"/>
        <v> BRNO 26 </v>
      </c>
      <c r="B43" s="5" t="str">
        <f t="shared" si="1"/>
        <v>I</v>
      </c>
      <c r="C43" s="41">
        <f t="shared" si="2"/>
        <v>45671.472999999998</v>
      </c>
      <c r="D43" s="17" t="str">
        <f t="shared" si="3"/>
        <v>vis</v>
      </c>
      <c r="E43" s="49">
        <f>VLOOKUP(C43,Active!C$21:E$972,3,FALSE)</f>
        <v>14392.141618606052</v>
      </c>
      <c r="F43" s="5" t="s">
        <v>68</v>
      </c>
      <c r="G43" s="17" t="str">
        <f t="shared" si="4"/>
        <v>45671.473</v>
      </c>
      <c r="H43" s="41">
        <f t="shared" si="5"/>
        <v>14392</v>
      </c>
      <c r="I43" s="50" t="s">
        <v>143</v>
      </c>
      <c r="J43" s="51" t="s">
        <v>144</v>
      </c>
      <c r="K43" s="50">
        <v>14392</v>
      </c>
      <c r="L43" s="50" t="s">
        <v>145</v>
      </c>
      <c r="M43" s="51" t="s">
        <v>136</v>
      </c>
      <c r="N43" s="51"/>
      <c r="O43" s="52" t="s">
        <v>146</v>
      </c>
      <c r="P43" s="52" t="s">
        <v>147</v>
      </c>
    </row>
    <row r="44" spans="1:16" ht="12.75" customHeight="1" thickBot="1" x14ac:dyDescent="0.25">
      <c r="A44" s="41" t="str">
        <f t="shared" si="0"/>
        <v> BRNO 26 </v>
      </c>
      <c r="B44" s="5" t="str">
        <f t="shared" si="1"/>
        <v>I</v>
      </c>
      <c r="C44" s="41">
        <f t="shared" si="2"/>
        <v>45671.472999999998</v>
      </c>
      <c r="D44" s="17" t="str">
        <f t="shared" si="3"/>
        <v>vis</v>
      </c>
      <c r="E44" s="49">
        <f>VLOOKUP(C44,Active!C$21:E$972,3,FALSE)</f>
        <v>14392.141618606052</v>
      </c>
      <c r="F44" s="5" t="s">
        <v>68</v>
      </c>
      <c r="G44" s="17" t="str">
        <f t="shared" si="4"/>
        <v>45671.473</v>
      </c>
      <c r="H44" s="41">
        <f t="shared" si="5"/>
        <v>14392</v>
      </c>
      <c r="I44" s="50" t="s">
        <v>143</v>
      </c>
      <c r="J44" s="51" t="s">
        <v>144</v>
      </c>
      <c r="K44" s="50">
        <v>14392</v>
      </c>
      <c r="L44" s="50" t="s">
        <v>145</v>
      </c>
      <c r="M44" s="51" t="s">
        <v>136</v>
      </c>
      <c r="N44" s="51"/>
      <c r="O44" s="52" t="s">
        <v>148</v>
      </c>
      <c r="P44" s="52" t="s">
        <v>147</v>
      </c>
    </row>
    <row r="45" spans="1:16" ht="12.75" customHeight="1" thickBot="1" x14ac:dyDescent="0.25">
      <c r="A45" s="41" t="str">
        <f t="shared" si="0"/>
        <v> BRNO 27 </v>
      </c>
      <c r="B45" s="5" t="str">
        <f t="shared" si="1"/>
        <v>I</v>
      </c>
      <c r="C45" s="41">
        <f t="shared" si="2"/>
        <v>46090.425000000003</v>
      </c>
      <c r="D45" s="17" t="str">
        <f t="shared" si="3"/>
        <v>vis</v>
      </c>
      <c r="E45" s="49">
        <f>VLOOKUP(C45,Active!C$21:E$972,3,FALSE)</f>
        <v>14721.146355560584</v>
      </c>
      <c r="F45" s="5" t="s">
        <v>68</v>
      </c>
      <c r="G45" s="17" t="str">
        <f t="shared" si="4"/>
        <v>46090.425</v>
      </c>
      <c r="H45" s="41">
        <f t="shared" si="5"/>
        <v>14721</v>
      </c>
      <c r="I45" s="50" t="s">
        <v>149</v>
      </c>
      <c r="J45" s="51" t="s">
        <v>150</v>
      </c>
      <c r="K45" s="50">
        <v>14721</v>
      </c>
      <c r="L45" s="50" t="s">
        <v>151</v>
      </c>
      <c r="M45" s="51" t="s">
        <v>136</v>
      </c>
      <c r="N45" s="51"/>
      <c r="O45" s="52" t="s">
        <v>146</v>
      </c>
      <c r="P45" s="52" t="s">
        <v>152</v>
      </c>
    </row>
    <row r="46" spans="1:16" ht="12.75" customHeight="1" thickBot="1" x14ac:dyDescent="0.25">
      <c r="A46" s="41" t="str">
        <f t="shared" si="0"/>
        <v>BAVM 68 </v>
      </c>
      <c r="B46" s="5" t="str">
        <f t="shared" si="1"/>
        <v>I</v>
      </c>
      <c r="C46" s="41">
        <f t="shared" si="2"/>
        <v>46467.364999999998</v>
      </c>
      <c r="D46" s="17" t="str">
        <f t="shared" si="3"/>
        <v>vis</v>
      </c>
      <c r="E46" s="49">
        <f>VLOOKUP(C46,Active!C$21:E$972,3,FALSE)</f>
        <v>15017.158895296969</v>
      </c>
      <c r="F46" s="5" t="s">
        <v>68</v>
      </c>
      <c r="G46" s="17" t="str">
        <f t="shared" si="4"/>
        <v>46467.365</v>
      </c>
      <c r="H46" s="41">
        <f t="shared" si="5"/>
        <v>15017</v>
      </c>
      <c r="I46" s="50" t="s">
        <v>153</v>
      </c>
      <c r="J46" s="51" t="s">
        <v>154</v>
      </c>
      <c r="K46" s="50">
        <v>15017</v>
      </c>
      <c r="L46" s="50" t="s">
        <v>155</v>
      </c>
      <c r="M46" s="51" t="s">
        <v>69</v>
      </c>
      <c r="N46" s="51"/>
      <c r="O46" s="52" t="s">
        <v>156</v>
      </c>
      <c r="P46" s="53" t="s">
        <v>157</v>
      </c>
    </row>
    <row r="47" spans="1:16" ht="12.75" customHeight="1" thickBot="1" x14ac:dyDescent="0.25">
      <c r="A47" s="41" t="str">
        <f t="shared" si="0"/>
        <v> BRNO 28 </v>
      </c>
      <c r="B47" s="5" t="str">
        <f t="shared" si="1"/>
        <v>I</v>
      </c>
      <c r="C47" s="41">
        <f t="shared" si="2"/>
        <v>46770.421000000002</v>
      </c>
      <c r="D47" s="17" t="str">
        <f t="shared" si="3"/>
        <v>vis</v>
      </c>
      <c r="E47" s="49">
        <f>VLOOKUP(C47,Active!C$21:E$972,3,FALSE)</f>
        <v>15255.15002450149</v>
      </c>
      <c r="F47" s="5" t="s">
        <v>68</v>
      </c>
      <c r="G47" s="17" t="str">
        <f t="shared" si="4"/>
        <v>46770.421</v>
      </c>
      <c r="H47" s="41">
        <f t="shared" si="5"/>
        <v>15255</v>
      </c>
      <c r="I47" s="50" t="s">
        <v>158</v>
      </c>
      <c r="J47" s="51" t="s">
        <v>159</v>
      </c>
      <c r="K47" s="50">
        <v>15255</v>
      </c>
      <c r="L47" s="50" t="s">
        <v>160</v>
      </c>
      <c r="M47" s="51" t="s">
        <v>136</v>
      </c>
      <c r="N47" s="51"/>
      <c r="O47" s="52" t="s">
        <v>146</v>
      </c>
      <c r="P47" s="52" t="s">
        <v>161</v>
      </c>
    </row>
    <row r="48" spans="1:16" ht="12.75" customHeight="1" thickBot="1" x14ac:dyDescent="0.25">
      <c r="A48" s="41" t="str">
        <f t="shared" si="0"/>
        <v> BRNO 30 </v>
      </c>
      <c r="B48" s="5" t="str">
        <f t="shared" si="1"/>
        <v>I</v>
      </c>
      <c r="C48" s="41">
        <f t="shared" si="2"/>
        <v>47529.366999999998</v>
      </c>
      <c r="D48" s="17" t="str">
        <f t="shared" si="3"/>
        <v>vis</v>
      </c>
      <c r="E48" s="49">
        <f>VLOOKUP(C48,Active!C$21:E$972,3,FALSE)</f>
        <v>15851.153454709938</v>
      </c>
      <c r="F48" s="5" t="s">
        <v>68</v>
      </c>
      <c r="G48" s="17" t="str">
        <f t="shared" si="4"/>
        <v>47529.367</v>
      </c>
      <c r="H48" s="41">
        <f t="shared" si="5"/>
        <v>15851</v>
      </c>
      <c r="I48" s="50" t="s">
        <v>162</v>
      </c>
      <c r="J48" s="51" t="s">
        <v>163</v>
      </c>
      <c r="K48" s="50">
        <v>15851</v>
      </c>
      <c r="L48" s="50" t="s">
        <v>164</v>
      </c>
      <c r="M48" s="51" t="s">
        <v>136</v>
      </c>
      <c r="N48" s="51"/>
      <c r="O48" s="52" t="s">
        <v>165</v>
      </c>
      <c r="P48" s="52" t="s">
        <v>166</v>
      </c>
    </row>
    <row r="49" spans="1:16" ht="12.75" customHeight="1" thickBot="1" x14ac:dyDescent="0.25">
      <c r="A49" s="41" t="str">
        <f t="shared" si="0"/>
        <v> BRNO 30 </v>
      </c>
      <c r="B49" s="5" t="str">
        <f t="shared" si="1"/>
        <v>I</v>
      </c>
      <c r="C49" s="41">
        <f t="shared" si="2"/>
        <v>47557.38</v>
      </c>
      <c r="D49" s="17" t="str">
        <f t="shared" si="3"/>
        <v>vis</v>
      </c>
      <c r="E49" s="49">
        <f>VLOOKUP(C49,Active!C$21:E$972,3,FALSE)</f>
        <v>15873.152179376028</v>
      </c>
      <c r="F49" s="5" t="s">
        <v>68</v>
      </c>
      <c r="G49" s="17" t="str">
        <f t="shared" si="4"/>
        <v>47557.380</v>
      </c>
      <c r="H49" s="41">
        <f t="shared" si="5"/>
        <v>15873</v>
      </c>
      <c r="I49" s="50" t="s">
        <v>167</v>
      </c>
      <c r="J49" s="51" t="s">
        <v>168</v>
      </c>
      <c r="K49" s="50">
        <v>15873</v>
      </c>
      <c r="L49" s="50" t="s">
        <v>169</v>
      </c>
      <c r="M49" s="51" t="s">
        <v>136</v>
      </c>
      <c r="N49" s="51"/>
      <c r="O49" s="52" t="s">
        <v>165</v>
      </c>
      <c r="P49" s="52" t="s">
        <v>166</v>
      </c>
    </row>
    <row r="50" spans="1:16" ht="12.75" customHeight="1" thickBot="1" x14ac:dyDescent="0.25">
      <c r="A50" s="41" t="str">
        <f t="shared" si="0"/>
        <v> BRNO 30 </v>
      </c>
      <c r="B50" s="5" t="str">
        <f t="shared" si="1"/>
        <v>I</v>
      </c>
      <c r="C50" s="41">
        <f t="shared" si="2"/>
        <v>47557.381000000001</v>
      </c>
      <c r="D50" s="17" t="str">
        <f t="shared" si="3"/>
        <v>vis</v>
      </c>
      <c r="E50" s="49">
        <f>VLOOKUP(C50,Active!C$21:E$972,3,FALSE)</f>
        <v>15873.152964680163</v>
      </c>
      <c r="F50" s="5" t="s">
        <v>68</v>
      </c>
      <c r="G50" s="17" t="str">
        <f t="shared" si="4"/>
        <v>47557.381</v>
      </c>
      <c r="H50" s="41">
        <f t="shared" si="5"/>
        <v>15873</v>
      </c>
      <c r="I50" s="50" t="s">
        <v>170</v>
      </c>
      <c r="J50" s="51" t="s">
        <v>171</v>
      </c>
      <c r="K50" s="50">
        <v>15873</v>
      </c>
      <c r="L50" s="50" t="s">
        <v>164</v>
      </c>
      <c r="M50" s="51" t="s">
        <v>136</v>
      </c>
      <c r="N50" s="51"/>
      <c r="O50" s="52" t="s">
        <v>146</v>
      </c>
      <c r="P50" s="52" t="s">
        <v>166</v>
      </c>
    </row>
    <row r="51" spans="1:16" ht="12.75" customHeight="1" thickBot="1" x14ac:dyDescent="0.25">
      <c r="A51" s="41" t="str">
        <f t="shared" si="0"/>
        <v>BAVM 59 </v>
      </c>
      <c r="B51" s="5" t="str">
        <f t="shared" si="1"/>
        <v>I</v>
      </c>
      <c r="C51" s="41">
        <f t="shared" si="2"/>
        <v>48275.587</v>
      </c>
      <c r="D51" s="17" t="str">
        <f t="shared" si="3"/>
        <v>vis</v>
      </c>
      <c r="E51" s="49">
        <f>VLOOKUP(C51,Active!C$21:E$972,3,FALSE)</f>
        <v>16437.163104527121</v>
      </c>
      <c r="F51" s="5" t="s">
        <v>68</v>
      </c>
      <c r="G51" s="17" t="str">
        <f t="shared" si="4"/>
        <v>48275.587</v>
      </c>
      <c r="H51" s="41">
        <f t="shared" si="5"/>
        <v>16437</v>
      </c>
      <c r="I51" s="50" t="s">
        <v>172</v>
      </c>
      <c r="J51" s="51" t="s">
        <v>173</v>
      </c>
      <c r="K51" s="50">
        <v>16437</v>
      </c>
      <c r="L51" s="50" t="s">
        <v>174</v>
      </c>
      <c r="M51" s="51" t="s">
        <v>69</v>
      </c>
      <c r="N51" s="51"/>
      <c r="O51" s="52" t="s">
        <v>156</v>
      </c>
      <c r="P51" s="53" t="s">
        <v>175</v>
      </c>
    </row>
    <row r="52" spans="1:16" ht="12.75" customHeight="1" thickBot="1" x14ac:dyDescent="0.25">
      <c r="A52" s="41" t="str">
        <f t="shared" si="0"/>
        <v> BRNO 31 </v>
      </c>
      <c r="B52" s="5" t="str">
        <f t="shared" si="1"/>
        <v>I</v>
      </c>
      <c r="C52" s="41">
        <f t="shared" si="2"/>
        <v>48619.400999999998</v>
      </c>
      <c r="D52" s="17" t="str">
        <f t="shared" si="3"/>
        <v>vis</v>
      </c>
      <c r="E52" s="49">
        <f>VLOOKUP(C52,Active!C$21:E$972,3,FALSE)</f>
        <v>16707.161659567515</v>
      </c>
      <c r="F52" s="5" t="s">
        <v>68</v>
      </c>
      <c r="G52" s="17" t="str">
        <f t="shared" si="4"/>
        <v>48619.401</v>
      </c>
      <c r="H52" s="41">
        <f t="shared" si="5"/>
        <v>16707</v>
      </c>
      <c r="I52" s="50" t="s">
        <v>176</v>
      </c>
      <c r="J52" s="51" t="s">
        <v>177</v>
      </c>
      <c r="K52" s="50">
        <v>16707</v>
      </c>
      <c r="L52" s="50" t="s">
        <v>178</v>
      </c>
      <c r="M52" s="51" t="s">
        <v>136</v>
      </c>
      <c r="N52" s="51"/>
      <c r="O52" s="52" t="s">
        <v>146</v>
      </c>
      <c r="P52" s="52" t="s">
        <v>179</v>
      </c>
    </row>
    <row r="53" spans="1:16" ht="12.75" customHeight="1" thickBot="1" x14ac:dyDescent="0.25">
      <c r="A53" s="41" t="str">
        <f t="shared" si="0"/>
        <v> BRNO 32 </v>
      </c>
      <c r="B53" s="5" t="str">
        <f t="shared" si="1"/>
        <v>I</v>
      </c>
      <c r="C53" s="41">
        <f t="shared" si="2"/>
        <v>50831.306299999997</v>
      </c>
      <c r="D53" s="17" t="str">
        <f t="shared" si="3"/>
        <v>vis</v>
      </c>
      <c r="E53" s="49">
        <f>VLOOKUP(C53,Active!C$21:E$972,3,FALSE)</f>
        <v>18444.180032543001</v>
      </c>
      <c r="F53" s="5" t="s">
        <v>68</v>
      </c>
      <c r="G53" s="17" t="str">
        <f t="shared" si="4"/>
        <v>50831.3063</v>
      </c>
      <c r="H53" s="41">
        <f t="shared" si="5"/>
        <v>18444</v>
      </c>
      <c r="I53" s="50" t="s">
        <v>191</v>
      </c>
      <c r="J53" s="51" t="s">
        <v>192</v>
      </c>
      <c r="K53" s="50">
        <v>18444</v>
      </c>
      <c r="L53" s="50" t="s">
        <v>193</v>
      </c>
      <c r="M53" s="51" t="s">
        <v>136</v>
      </c>
      <c r="N53" s="51"/>
      <c r="O53" s="52" t="s">
        <v>194</v>
      </c>
      <c r="P53" s="52" t="s">
        <v>195</v>
      </c>
    </row>
    <row r="54" spans="1:16" ht="12.75" customHeight="1" thickBot="1" x14ac:dyDescent="0.25">
      <c r="A54" s="41" t="str">
        <f t="shared" si="0"/>
        <v>OEJV 0074 </v>
      </c>
      <c r="B54" s="5" t="str">
        <f t="shared" si="1"/>
        <v>I</v>
      </c>
      <c r="C54" s="41">
        <f t="shared" si="2"/>
        <v>53784.336000000003</v>
      </c>
      <c r="D54" s="17" t="str">
        <f t="shared" si="3"/>
        <v>vis</v>
      </c>
      <c r="E54" s="49" t="e">
        <f>VLOOKUP(C54,Active!C$21:E$972,3,FALSE)</f>
        <v>#N/A</v>
      </c>
      <c r="F54" s="5" t="s">
        <v>68</v>
      </c>
      <c r="G54" s="17" t="str">
        <f t="shared" si="4"/>
        <v>53784.336</v>
      </c>
      <c r="H54" s="41">
        <f t="shared" si="5"/>
        <v>20763</v>
      </c>
      <c r="I54" s="50" t="s">
        <v>216</v>
      </c>
      <c r="J54" s="51" t="s">
        <v>217</v>
      </c>
      <c r="K54" s="50" t="s">
        <v>218</v>
      </c>
      <c r="L54" s="50" t="s">
        <v>219</v>
      </c>
      <c r="M54" s="51" t="s">
        <v>136</v>
      </c>
      <c r="N54" s="51"/>
      <c r="O54" s="52" t="s">
        <v>220</v>
      </c>
      <c r="P54" s="53" t="s">
        <v>221</v>
      </c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</sheetData>
  <phoneticPr fontId="7" type="noConversion"/>
  <hyperlinks>
    <hyperlink ref="P46" r:id="rId1" display="http://www.bav-astro.de/sfs/BAVM_link.php?BAVMnr=68"/>
    <hyperlink ref="P51" r:id="rId2" display="http://www.bav-astro.de/sfs/BAVM_link.php?BAVMnr=59"/>
    <hyperlink ref="P13" r:id="rId3" display="http://www.konkoly.hu/cgi-bin/IBVS?3877"/>
    <hyperlink ref="P16" r:id="rId4" display="http://www.konkoly.hu/cgi-bin/IBVS?5263"/>
    <hyperlink ref="P18" r:id="rId5" display="http://www.bav-astro.de/sfs/BAVM_link.php?BAVMnr=173"/>
    <hyperlink ref="P54" r:id="rId6" display="http://var.astro.cz/oejv/issues/oejv0074.pdf"/>
    <hyperlink ref="P20" r:id="rId7" display="http://www.bav-astro.de/sfs/BAVM_link.php?BAVMnr=209"/>
    <hyperlink ref="P21" r:id="rId8" display="http://www.bav-astro.de/sfs/BAVM_link.php?BAVMnr=214"/>
    <hyperlink ref="P22" r:id="rId9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2024-01-26T05:44:11Z</dcterms:modified>
</cp:coreProperties>
</file>