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90E173-932C-480B-BFFA-3C73E0084D09}" xr6:coauthVersionLast="47" xr6:coauthVersionMax="47" xr10:uidLastSave="{00000000-0000-0000-0000-000000000000}"/>
  <bookViews>
    <workbookView xWindow="14415" yWindow="180" windowWidth="1347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6" i="1"/>
  <c r="F26" i="1" s="1"/>
  <c r="G26" i="1" s="1"/>
  <c r="K26" i="1" s="1"/>
  <c r="Q26" i="1"/>
  <c r="Q25" i="1"/>
  <c r="G13" i="2"/>
  <c r="C13" i="2"/>
  <c r="E13" i="2"/>
  <c r="G12" i="2"/>
  <c r="C12" i="2"/>
  <c r="G11" i="2"/>
  <c r="C11" i="2"/>
  <c r="H13" i="2"/>
  <c r="D13" i="2"/>
  <c r="B13" i="2"/>
  <c r="A13" i="2"/>
  <c r="H12" i="2"/>
  <c r="D12" i="2"/>
  <c r="B12" i="2"/>
  <c r="A12" i="2"/>
  <c r="H11" i="2"/>
  <c r="D11" i="2"/>
  <c r="B11" i="2"/>
  <c r="A11" i="2"/>
  <c r="E24" i="1"/>
  <c r="F24" i="1"/>
  <c r="G24" i="1"/>
  <c r="J24" i="1"/>
  <c r="C9" i="1"/>
  <c r="D9" i="1"/>
  <c r="Q22" i="1"/>
  <c r="Q24" i="1"/>
  <c r="E21" i="1"/>
  <c r="F21" i="1"/>
  <c r="G21" i="1"/>
  <c r="H21" i="1"/>
  <c r="F16" i="1"/>
  <c r="F17" i="1" s="1"/>
  <c r="C17" i="1"/>
  <c r="C7" i="1"/>
  <c r="E25" i="1"/>
  <c r="F25" i="1"/>
  <c r="Q23" i="1"/>
  <c r="Q21" i="1"/>
  <c r="E12" i="2"/>
  <c r="E11" i="2"/>
  <c r="E22" i="1"/>
  <c r="F22" i="1"/>
  <c r="G22" i="1"/>
  <c r="G25" i="1"/>
  <c r="K25" i="1"/>
  <c r="E23" i="1"/>
  <c r="F23" i="1"/>
  <c r="G23" i="1"/>
  <c r="J23" i="1"/>
  <c r="K22" i="1"/>
  <c r="C12" i="1"/>
  <c r="C11" i="1"/>
  <c r="O27" i="1" l="1"/>
  <c r="O26" i="1"/>
  <c r="C16" i="1"/>
  <c r="D18" i="1" s="1"/>
  <c r="O24" i="1"/>
  <c r="O21" i="1"/>
  <c r="O23" i="1"/>
  <c r="O25" i="1"/>
  <c r="O22" i="1"/>
  <c r="C15" i="1"/>
  <c r="F18" i="1" l="1"/>
  <c r="F19" i="1" s="1"/>
  <c r="C18" i="1"/>
</calcChain>
</file>

<file path=xl/sharedStrings.xml><?xml version="1.0" encoding="utf-8"?>
<sst xmlns="http://schemas.openxmlformats.org/spreadsheetml/2006/main" count="93" uniqueCount="78">
  <si>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</si>
  <si>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</si>
  <si>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</si>
  <si>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</si>
  <si>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</si>
  <si>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</si>
  <si>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</si>
  <si>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</si>
  <si>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</si>
  <si>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</si>
  <si>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</si>
  <si>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</si>
  <si>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</si>
  <si>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</si>
  <si>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</si>
  <si>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</si>
  <si>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</si>
  <si>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</si>
  <si>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</si>
  <si>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</si>
  <si>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</si>
  <si>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</si>
  <si>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</si>
  <si>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</si>
  <si>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</si>
  <si>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</si>
  <si>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</si>
  <si>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</si>
  <si>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5657</t>
  </si>
  <si>
    <t>EA</t>
  </si>
  <si>
    <t># of data points:</t>
  </si>
  <si>
    <t xml:space="preserve">06 34 31.2 +19 58 29 </t>
  </si>
  <si>
    <t>KM Gem / na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</si>
  <si>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</si>
  <si>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</si>
  <si>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</si>
  <si>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</si>
  <si>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</si>
  <si>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</si>
  <si>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</si>
  <si>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</si>
  <si>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</si>
  <si>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I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</si>
  <si>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</si>
  <si>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</si>
  <si>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</si>
  <si>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</si>
  <si>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</si>
  <si>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</si>
  <si>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</si>
  <si>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</si>
  <si>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</si>
  <si>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</si>
  <si>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</si>
  <si>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</si>
  <si>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2452965.8942 </t>
  </si>
  <si>
    <t> 22.11.2003 09:27 </t>
  </si>
  <si>
    <t> 0.1649 </t>
  </si>
  <si>
    <t>C </t>
  </si>
  <si>
    <t>V </t>
  </si>
  <si>
    <t> S.Dvorak </t>
  </si>
  <si>
    <t> JAAVSO 41;122 </t>
  </si>
  <si>
    <t>2453388.4886 </t>
  </si>
  <si>
    <t> 17.01.2005 23:43 </t>
  </si>
  <si>
    <t> 0.0398 </t>
  </si>
  <si>
    <t>E </t>
  </si>
  <si>
    <t>-I</t>
  </si>
  <si>
    <t> P.Frank </t>
  </si>
  <si>
    <t>BAVM 173 </t>
  </si>
  <si>
    <t>2455263.4324 </t>
  </si>
  <si>
    <t> 07.03.2010 22:22 </t>
  </si>
  <si>
    <t>27723</t>
  </si>
  <si>
    <t> -0.0587 </t>
  </si>
  <si>
    <t> F.Agerer </t>
  </si>
  <si>
    <t>BAVM 214 </t>
  </si>
  <si>
    <t>OEJV 0179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</si>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</sst>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/>
    <xf numFmtId="0" fontId="5" fillId="0" borderId="11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vertical="center" wrapText="1"/>
    </xf>
    <xf numFmtId="166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Gem - O-C Diagr.</a:t>
            </a:r>
          </a:p>
        </c:rich>
      </c:tx>
      <c:layout>
        <c:manualLayout>
          <c:xMode val="edge"/>
          <c:yMode val="edge"/>
          <c:x val="0.371567382833204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3-45D2-A175-8B56C904A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53-45D2-A175-8B56C904A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3.9839999997639097E-2</c:v>
                </c:pt>
                <c:pt idx="3">
                  <c:v>-5.866000000241911E-2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53-45D2-A175-8B56C904A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0.16490000000339933</c:v>
                </c:pt>
                <c:pt idx="4">
                  <c:v>-4.8940000007860363E-2</c:v>
                </c:pt>
                <c:pt idx="5">
                  <c:v>-0.13790000000881264</c:v>
                </c:pt>
                <c:pt idx="6">
                  <c:v>-3.9629999999306165E-2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53-45D2-A175-8B56C904A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53-45D2-A175-8B56C904A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53-45D2-A175-8B56C904A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53-45D2-A175-8B56C904A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0.77835232071166582</c:v>
                </c:pt>
                <c:pt idx="1">
                  <c:v>8.296232812281501E-2</c:v>
                </c:pt>
                <c:pt idx="2">
                  <c:v>7.0793346621062625E-2</c:v>
                </c:pt>
                <c:pt idx="3">
                  <c:v>1.6815810162951195E-2</c:v>
                </c:pt>
                <c:pt idx="4">
                  <c:v>-4.4358731156241782E-2</c:v>
                </c:pt>
                <c:pt idx="5">
                  <c:v>-9.8336267614353323E-2</c:v>
                </c:pt>
                <c:pt idx="6">
                  <c:v>-0.10826648615359358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53-45D2-A175-8B56C904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800D9A-4B8F-56E7-04C3-7D53DBD00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3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  <c r="B1" s="1"/>
      <c r="C1" s="13" t="s">
        <v>31</v>
      </c>
    </row>
    <row r="2" spans="1:6">
      <c r="A2" t="s">
        <v>24</v>
      </c>
      <c r="B2" s="10" t="s">
        <v>29</v>
      </c>
    </row>
    <row r="4" spans="1:6" ht="14.25" thickTop="1" thickBot="1">
      <c r="A4" s="6" t="s">
        <v>0</v>
      </c>
      <c r="B4" s="6"/>
      <c r="C4" s="3">
        <v>28809.65</v>
      </c>
      <c r="D4" s="4">
        <v>0.95421999999999996</v>
      </c>
    </row>
    <row r="5" spans="1:6" ht="13.5" thickTop="1">
      <c r="A5" s="14" t="s">
        <v>33</v>
      </c>
      <c r="B5" s="15"/>
      <c r="C5" s="16">
        <v>-9.5</v>
      </c>
      <c r="D5" s="15" t="s">
        <v>34</v>
      </c>
    </row>
    <row r="6" spans="1:6">
      <c r="A6" s="6" t="s">
        <v>1</v>
      </c>
      <c r="B6" s="6"/>
      <c r="C6" s="9"/>
    </row>
    <row r="7" spans="1:6">
      <c r="A7" t="s">
        <v>2</v>
      </c>
      <c r="C7">
        <f>+C4</f>
        <v>28809.65</v>
      </c>
    </row>
    <row r="8" spans="1:6">
      <c r="A8" t="s">
        <v>3</v>
      </c>
      <c r="C8">
        <v>0.95421999999999996</v>
      </c>
    </row>
    <row r="9" spans="1:6">
      <c r="A9" s="30" t="s">
        <v>38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6" ht="13.5" thickBot="1">
      <c r="A10" s="15"/>
      <c r="B10" s="15"/>
      <c r="C10" s="5" t="s">
        <v>20</v>
      </c>
      <c r="D10" s="5" t="s">
        <v>21</v>
      </c>
      <c r="E10" s="15"/>
    </row>
    <row r="11" spans="1:6">
      <c r="A11" s="15" t="s">
        <v>16</v>
      </c>
      <c r="B11" s="15"/>
      <c r="C11" s="17">
        <f ca="1">INTERCEPT(INDIRECT($D$9):G992,INDIRECT($C$9):F992)</f>
        <v>0.77835232071166582</v>
      </c>
      <c r="D11" s="18"/>
      <c r="E11" s="15"/>
    </row>
    <row r="12" spans="1:6">
      <c r="A12" s="15" t="s">
        <v>17</v>
      </c>
      <c r="B12" s="15"/>
      <c r="C12" s="17">
        <f ca="1">SLOPE(INDIRECT($D$9):G992,INDIRECT($C$9):F992)</f>
        <v>-2.7469484202601256E-5</v>
      </c>
      <c r="D12" s="18"/>
      <c r="E12" s="15"/>
    </row>
    <row r="13" spans="1:6">
      <c r="A13" s="15" t="s">
        <v>19</v>
      </c>
      <c r="B13" s="15"/>
      <c r="C13" s="18" t="s">
        <v>14</v>
      </c>
    </row>
    <row r="14" spans="1:6">
      <c r="A14" s="15"/>
      <c r="B14" s="15"/>
      <c r="C14" s="15"/>
    </row>
    <row r="15" spans="1:6">
      <c r="A15" s="21" t="s">
        <v>18</v>
      </c>
      <c r="B15" s="15"/>
      <c r="C15" s="22">
        <f ca="1">(C7+C11)+(C8+C12)*INT(MAX(F21:F3533))</f>
        <v>59607.946467248592</v>
      </c>
      <c r="E15" s="23" t="s">
        <v>39</v>
      </c>
      <c r="F15" s="16">
        <v>1</v>
      </c>
    </row>
    <row r="16" spans="1:6">
      <c r="A16" s="25" t="s">
        <v>4</v>
      </c>
      <c r="B16" s="15"/>
      <c r="C16" s="26">
        <f ca="1">+C8+C12</f>
        <v>0.95419253051579733</v>
      </c>
      <c r="E16" s="23" t="s">
        <v>35</v>
      </c>
      <c r="F16" s="24">
        <f ca="1">NOW()+15018.5+$C$5/24</f>
        <v>60171.567919907407</v>
      </c>
    </row>
    <row r="17" spans="1:17" ht="13.5" thickBot="1">
      <c r="A17" s="23" t="s">
        <v>30</v>
      </c>
      <c r="B17" s="15"/>
      <c r="C17" s="15">
        <f>COUNT(C21:C2191)</f>
        <v>7</v>
      </c>
      <c r="E17" s="23" t="s">
        <v>40</v>
      </c>
      <c r="F17" s="24">
        <f ca="1">ROUND(2*(F16-$C$7)/$C$8,0)/2+F15</f>
        <v>32867.5</v>
      </c>
    </row>
    <row r="18" spans="1:17" ht="14.25" thickTop="1" thickBot="1">
      <c r="A18" s="25" t="s">
        <v>5</v>
      </c>
      <c r="B18" s="15"/>
      <c r="C18" s="28">
        <f ca="1">+C15</f>
        <v>59607.946467248592</v>
      </c>
      <c r="D18" s="29">
        <f ca="1">+C16</f>
        <v>0.95419253051579733</v>
      </c>
      <c r="E18" s="23" t="s">
        <v>36</v>
      </c>
      <c r="F18" s="20">
        <f ca="1">ROUND(2*(F16-$C$15)/$C$16,0)/2+F15</f>
        <v>591.5</v>
      </c>
    </row>
    <row r="19" spans="1:17" ht="13.5" thickTop="1">
      <c r="E19" s="23" t="s">
        <v>37</v>
      </c>
      <c r="F19" s="27">
        <f ca="1">+$C$15+$C$16*F18-15018.5-$C$5/24</f>
        <v>45154.247182382023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>
      <c r="A21" t="s">
        <v>12</v>
      </c>
      <c r="C21" s="11">
        <v>28809.65</v>
      </c>
      <c r="D21" s="11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0.77835232071166582</v>
      </c>
      <c r="Q21" s="2">
        <f t="shared" ref="Q21:Q26" si="4">+C21-15018.5</f>
        <v>13791.150000000001</v>
      </c>
    </row>
    <row r="22" spans="1:17">
      <c r="A22" s="50" t="s">
        <v>43</v>
      </c>
      <c r="B22" s="51" t="s">
        <v>42</v>
      </c>
      <c r="C22" s="34">
        <v>52965.894200000002</v>
      </c>
      <c r="D22" s="34">
        <v>5.0000000000000001E-4</v>
      </c>
      <c r="E22">
        <f t="shared" si="0"/>
        <v>25315.172811301378</v>
      </c>
      <c r="F22">
        <f t="shared" si="1"/>
        <v>25315</v>
      </c>
      <c r="G22">
        <f t="shared" si="2"/>
        <v>0.16490000000339933</v>
      </c>
      <c r="K22">
        <f>+G22</f>
        <v>0.16490000000339933</v>
      </c>
      <c r="O22">
        <f t="shared" ca="1" si="3"/>
        <v>8.296232812281501E-2</v>
      </c>
      <c r="Q22" s="2">
        <f t="shared" si="4"/>
        <v>37947.394200000002</v>
      </c>
    </row>
    <row r="23" spans="1:17">
      <c r="A23" s="32" t="s">
        <v>28</v>
      </c>
      <c r="B23" s="33"/>
      <c r="C23" s="34">
        <v>53388.488599999997</v>
      </c>
      <c r="D23" s="34">
        <v>2.5000000000000001E-3</v>
      </c>
      <c r="E23">
        <f t="shared" si="0"/>
        <v>25758.041751378085</v>
      </c>
      <c r="F23">
        <f t="shared" si="1"/>
        <v>25758</v>
      </c>
      <c r="G23">
        <f t="shared" si="2"/>
        <v>3.9839999997639097E-2</v>
      </c>
      <c r="J23">
        <f>+G23</f>
        <v>3.9839999997639097E-2</v>
      </c>
      <c r="O23">
        <f t="shared" ca="1" si="3"/>
        <v>7.0793346621062625E-2</v>
      </c>
      <c r="Q23" s="2">
        <f t="shared" si="4"/>
        <v>38369.988599999997</v>
      </c>
    </row>
    <row r="24" spans="1:17">
      <c r="A24" s="35" t="s">
        <v>41</v>
      </c>
      <c r="B24" s="36" t="s">
        <v>42</v>
      </c>
      <c r="C24" s="35">
        <v>55263.432399999998</v>
      </c>
      <c r="D24" s="35">
        <v>4.7000000000000002E-3</v>
      </c>
      <c r="E24">
        <f t="shared" si="0"/>
        <v>27722.938525706857</v>
      </c>
      <c r="F24">
        <f t="shared" si="1"/>
        <v>27723</v>
      </c>
      <c r="G24">
        <f t="shared" si="2"/>
        <v>-5.866000000241911E-2</v>
      </c>
      <c r="J24">
        <f>+G24</f>
        <v>-5.866000000241911E-2</v>
      </c>
      <c r="O24">
        <f t="shared" ca="1" si="3"/>
        <v>1.6815810162951195E-2</v>
      </c>
      <c r="Q24" s="2">
        <f t="shared" si="4"/>
        <v>40244.932399999998</v>
      </c>
    </row>
    <row r="25" spans="1:17">
      <c r="A25" s="52" t="s">
        <v>75</v>
      </c>
      <c r="B25" s="53" t="s">
        <v>42</v>
      </c>
      <c r="C25" s="54">
        <v>57388.490059999996</v>
      </c>
      <c r="D25" s="54">
        <v>1.2999999999999999E-3</v>
      </c>
      <c r="E25">
        <f t="shared" si="0"/>
        <v>29949.948712037054</v>
      </c>
      <c r="F25">
        <f t="shared" si="1"/>
        <v>29950</v>
      </c>
      <c r="G25">
        <f t="shared" si="2"/>
        <v>-4.8940000007860363E-2</v>
      </c>
      <c r="K25">
        <f>+G25</f>
        <v>-4.8940000007860363E-2</v>
      </c>
      <c r="O25">
        <f t="shared" ca="1" si="3"/>
        <v>-4.4358731156241782E-2</v>
      </c>
      <c r="Q25" s="2">
        <f t="shared" si="4"/>
        <v>42369.990059999996</v>
      </c>
    </row>
    <row r="26" spans="1:17">
      <c r="A26" s="55" t="s">
        <v>76</v>
      </c>
      <c r="B26" s="56" t="s">
        <v>42</v>
      </c>
      <c r="C26" s="57">
        <v>59263.443399999996</v>
      </c>
      <c r="D26" s="55">
        <v>3.5000000000000001E-3</v>
      </c>
      <c r="E26">
        <f t="shared" si="0"/>
        <v>31914.855484060277</v>
      </c>
      <c r="F26">
        <f t="shared" si="1"/>
        <v>31915</v>
      </c>
      <c r="G26">
        <f t="shared" si="2"/>
        <v>-0.13790000000881264</v>
      </c>
      <c r="K26">
        <f>+G26</f>
        <v>-0.13790000000881264</v>
      </c>
      <c r="O26">
        <f t="shared" ca="1" si="3"/>
        <v>-9.8336267614353323E-2</v>
      </c>
      <c r="Q26" s="2">
        <f t="shared" si="4"/>
        <v>44244.943399999996</v>
      </c>
    </row>
    <row r="27" spans="1:17">
      <c r="A27" s="55" t="s">
        <v>77</v>
      </c>
      <c r="B27" s="56" t="s">
        <v>42</v>
      </c>
      <c r="C27" s="58">
        <v>59608.492200000001</v>
      </c>
      <c r="D27" s="55">
        <v>3.5000000000000001E-3</v>
      </c>
      <c r="E27">
        <f t="shared" ref="E27" si="5">+(C27-C$7)/C$8</f>
        <v>32276.458468696947</v>
      </c>
      <c r="F27">
        <f t="shared" si="1"/>
        <v>32276.5</v>
      </c>
      <c r="G27">
        <f t="shared" ref="G27" si="6">+C27-(C$7+F27*C$8)</f>
        <v>-3.9629999999306165E-2</v>
      </c>
      <c r="K27">
        <f>+G27</f>
        <v>-3.9629999999306165E-2</v>
      </c>
      <c r="O27">
        <f t="shared" ref="O27" ca="1" si="7">+C$11+C$12*$F27</f>
        <v>-0.10826648615359358</v>
      </c>
      <c r="Q27" s="2">
        <f t="shared" ref="Q27" si="8">+C27-15018.5</f>
        <v>44589.992200000001</v>
      </c>
    </row>
    <row r="28" spans="1:17">
      <c r="C28" s="12"/>
      <c r="D28" s="12"/>
      <c r="Q28" s="2"/>
    </row>
    <row r="29" spans="1:17">
      <c r="C29" s="12"/>
      <c r="D29" s="12"/>
      <c r="Q29" s="2"/>
    </row>
    <row r="30" spans="1:17">
      <c r="C30" s="12"/>
      <c r="D30" s="12"/>
      <c r="Q30" s="2"/>
    </row>
    <row r="31" spans="1:17">
      <c r="C31" s="12"/>
      <c r="D31" s="12"/>
      <c r="Q31" s="2"/>
    </row>
    <row r="32" spans="1:17">
      <c r="C32" s="12"/>
      <c r="D32" s="12"/>
      <c r="Q32" s="2"/>
    </row>
    <row r="33" spans="3:4">
      <c r="C33" s="12"/>
      <c r="D33" s="12"/>
    </row>
    <row r="34" spans="3:4">
      <c r="C34" s="12"/>
      <c r="D34" s="12"/>
    </row>
    <row r="35" spans="3:4">
      <c r="C35" s="12"/>
      <c r="D35" s="12"/>
    </row>
    <row r="36" spans="3:4">
      <c r="C36" s="12"/>
      <c r="D36" s="12"/>
    </row>
    <row r="37" spans="3:4">
      <c r="C37" s="12"/>
      <c r="D37" s="12"/>
    </row>
    <row r="38" spans="3:4">
      <c r="C38" s="12"/>
      <c r="D38" s="12"/>
    </row>
    <row r="39" spans="3:4">
      <c r="C39" s="12"/>
      <c r="D39" s="12"/>
    </row>
    <row r="40" spans="3:4">
      <c r="C40" s="12"/>
      <c r="D40" s="12"/>
    </row>
    <row r="41" spans="3:4">
      <c r="C41" s="12"/>
      <c r="D41" s="12"/>
    </row>
    <row r="42" spans="3:4">
      <c r="C42" s="12"/>
      <c r="D42" s="12"/>
    </row>
    <row r="43" spans="3:4">
      <c r="C43" s="12"/>
      <c r="D43" s="12"/>
    </row>
    <row r="44" spans="3:4">
      <c r="C44" s="12"/>
      <c r="D44" s="12"/>
    </row>
    <row r="45" spans="3:4">
      <c r="C45" s="12"/>
      <c r="D45" s="12"/>
    </row>
    <row r="46" spans="3:4">
      <c r="C46" s="12"/>
      <c r="D46" s="12"/>
    </row>
    <row r="47" spans="3:4">
      <c r="C47" s="12"/>
      <c r="D47" s="12"/>
    </row>
    <row r="48" spans="3:4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</sheetData>
  <phoneticPr fontId="7" type="noConversion"/>
  <hyperlinks>
    <hyperlink ref="H362" r:id="rId1" display="http://vsolj.cetus-net.org/bulletin.html" xr:uid="{00000000-0004-0000-0000-000000000000}"/>
    <hyperlink ref="H355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9"/>
  <sheetViews>
    <sheetView workbookViewId="0">
      <selection activeCell="A11" sqref="A11:IV448"/>
    </sheetView>
  </sheetViews>
  <sheetFormatPr defaultRowHeight="12.75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7" t="s">
        <v>44</v>
      </c>
      <c r="I1" s="38" t="s">
        <v>45</v>
      </c>
      <c r="J1" s="39" t="s">
        <v>46</v>
      </c>
    </row>
    <row r="2" spans="1:16">
      <c r="I2" s="40" t="s">
        <v>47</v>
      </c>
      <c r="J2" s="41" t="s">
        <v>48</v>
      </c>
    </row>
    <row r="3" spans="1:16">
      <c r="A3" s="42" t="s">
        <v>49</v>
      </c>
      <c r="I3" s="40" t="s">
        <v>50</v>
      </c>
      <c r="J3" s="41" t="s">
        <v>51</v>
      </c>
    </row>
    <row r="4" spans="1:16">
      <c r="I4" s="40" t="s">
        <v>52</v>
      </c>
      <c r="J4" s="41" t="s">
        <v>51</v>
      </c>
    </row>
    <row r="5" spans="1:16" ht="13.5" thickBot="1">
      <c r="I5" s="43" t="s">
        <v>53</v>
      </c>
      <c r="J5" s="44" t="s">
        <v>54</v>
      </c>
    </row>
    <row r="10" spans="1:16" ht="13.5" thickBot="1"/>
    <row r="11" spans="1:16" ht="12.75" customHeight="1" thickBot="1">
      <c r="A11" s="12" t="str">
        <f>P11</f>
        <v> JAAVSO 41;122 </v>
      </c>
      <c r="B11" s="18" t="str">
        <f>IF(H11=INT(H11),"I","II")</f>
        <v>I</v>
      </c>
      <c r="C11" s="12">
        <f>1*G11</f>
        <v>52965.894200000002</v>
      </c>
      <c r="D11" s="15" t="str">
        <f>VLOOKUP(F11,I$1:J$5,2,FALSE)</f>
        <v>vis</v>
      </c>
      <c r="E11" s="45">
        <f>VLOOKUP(C11,Active!C$21:E$973,3,FALSE)</f>
        <v>25315.172811301378</v>
      </c>
      <c r="F11" s="18" t="s">
        <v>53</v>
      </c>
      <c r="G11" s="15" t="str">
        <f>MID(I11,3,LEN(I11)-3)</f>
        <v>52965.8942</v>
      </c>
      <c r="H11" s="12">
        <f>1*K11</f>
        <v>25315</v>
      </c>
      <c r="I11" s="46" t="s">
        <v>55</v>
      </c>
      <c r="J11" s="47" t="s">
        <v>56</v>
      </c>
      <c r="K11" s="46">
        <v>25315</v>
      </c>
      <c r="L11" s="46" t="s">
        <v>57</v>
      </c>
      <c r="M11" s="47" t="s">
        <v>58</v>
      </c>
      <c r="N11" s="47" t="s">
        <v>59</v>
      </c>
      <c r="O11" s="48" t="s">
        <v>60</v>
      </c>
      <c r="P11" s="48" t="s">
        <v>61</v>
      </c>
    </row>
    <row r="12" spans="1:16" ht="12.75" customHeight="1" thickBot="1">
      <c r="A12" s="12" t="str">
        <f>P12</f>
        <v>BAVM 173 </v>
      </c>
      <c r="B12" s="18" t="str">
        <f>IF(H12=INT(H12),"I","II")</f>
        <v>I</v>
      </c>
      <c r="C12" s="12">
        <f>1*G12</f>
        <v>53388.488599999997</v>
      </c>
      <c r="D12" s="15" t="str">
        <f>VLOOKUP(F12,I$1:J$5,2,FALSE)</f>
        <v>vis</v>
      </c>
      <c r="E12" s="45">
        <f>VLOOKUP(C12,Active!C$21:E$973,3,FALSE)</f>
        <v>25758.041751378085</v>
      </c>
      <c r="F12" s="18" t="s">
        <v>53</v>
      </c>
      <c r="G12" s="15" t="str">
        <f>MID(I12,3,LEN(I12)-3)</f>
        <v>53388.4886</v>
      </c>
      <c r="H12" s="12">
        <f>1*K12</f>
        <v>25758</v>
      </c>
      <c r="I12" s="46" t="s">
        <v>62</v>
      </c>
      <c r="J12" s="47" t="s">
        <v>63</v>
      </c>
      <c r="K12" s="46">
        <v>25758</v>
      </c>
      <c r="L12" s="46" t="s">
        <v>64</v>
      </c>
      <c r="M12" s="47" t="s">
        <v>65</v>
      </c>
      <c r="N12" s="47" t="s">
        <v>66</v>
      </c>
      <c r="O12" s="48" t="s">
        <v>67</v>
      </c>
      <c r="P12" s="49" t="s">
        <v>68</v>
      </c>
    </row>
    <row r="13" spans="1:16" ht="12.75" customHeight="1" thickBot="1">
      <c r="A13" s="12" t="str">
        <f>P13</f>
        <v>BAVM 214 </v>
      </c>
      <c r="B13" s="18" t="str">
        <f>IF(H13=INT(H13),"I","II")</f>
        <v>I</v>
      </c>
      <c r="C13" s="12">
        <f>1*G13</f>
        <v>55263.432399999998</v>
      </c>
      <c r="D13" s="15" t="str">
        <f>VLOOKUP(F13,I$1:J$5,2,FALSE)</f>
        <v>vis</v>
      </c>
      <c r="E13" s="45">
        <f>VLOOKUP(C13,Active!C$21:E$973,3,FALSE)</f>
        <v>27722.938525706857</v>
      </c>
      <c r="F13" s="18" t="s">
        <v>53</v>
      </c>
      <c r="G13" s="15" t="str">
        <f>MID(I13,3,LEN(I13)-3)</f>
        <v>55263.4324</v>
      </c>
      <c r="H13" s="12">
        <f>1*K13</f>
        <v>27723</v>
      </c>
      <c r="I13" s="46" t="s">
        <v>69</v>
      </c>
      <c r="J13" s="47" t="s">
        <v>70</v>
      </c>
      <c r="K13" s="46" t="s">
        <v>71</v>
      </c>
      <c r="L13" s="46" t="s">
        <v>72</v>
      </c>
      <c r="M13" s="47" t="s">
        <v>58</v>
      </c>
      <c r="N13" s="47" t="s">
        <v>66</v>
      </c>
      <c r="O13" s="48" t="s">
        <v>73</v>
      </c>
      <c r="P13" s="49" t="s">
        <v>74</v>
      </c>
    </row>
    <row r="14" spans="1:16">
      <c r="B14" s="18"/>
      <c r="F14" s="18"/>
    </row>
    <row r="15" spans="1:16">
      <c r="B15" s="18"/>
      <c r="F15" s="18"/>
    </row>
    <row r="16" spans="1:16">
      <c r="B16" s="18"/>
      <c r="F16" s="18"/>
    </row>
    <row r="17" spans="2:6">
      <c r="B17" s="18"/>
      <c r="F17" s="18"/>
    </row>
    <row r="18" spans="2:6">
      <c r="B18" s="18"/>
      <c r="F18" s="18"/>
    </row>
    <row r="19" spans="2:6">
      <c r="B19" s="18"/>
      <c r="F19" s="18"/>
    </row>
    <row r="20" spans="2:6">
      <c r="B20" s="18"/>
      <c r="F20" s="18"/>
    </row>
    <row r="21" spans="2:6">
      <c r="B21" s="18"/>
      <c r="F21" s="18"/>
    </row>
    <row r="22" spans="2:6">
      <c r="B22" s="18"/>
      <c r="F22" s="18"/>
    </row>
    <row r="23" spans="2:6">
      <c r="B23" s="18"/>
      <c r="F23" s="18"/>
    </row>
    <row r="24" spans="2:6">
      <c r="B24" s="18"/>
      <c r="F24" s="18"/>
    </row>
    <row r="25" spans="2:6">
      <c r="B25" s="18"/>
      <c r="F25" s="18"/>
    </row>
    <row r="26" spans="2:6">
      <c r="B26" s="18"/>
      <c r="F26" s="18"/>
    </row>
    <row r="27" spans="2:6">
      <c r="B27" s="18"/>
      <c r="F27" s="18"/>
    </row>
    <row r="28" spans="2:6">
      <c r="B28" s="18"/>
      <c r="F28" s="18"/>
    </row>
    <row r="29" spans="2:6">
      <c r="B29" s="18"/>
      <c r="F29" s="18"/>
    </row>
    <row r="30" spans="2:6">
      <c r="B30" s="18"/>
      <c r="F30" s="18"/>
    </row>
    <row r="31" spans="2:6">
      <c r="B31" s="18"/>
      <c r="F31" s="18"/>
    </row>
    <row r="32" spans="2:6">
      <c r="B32" s="18"/>
      <c r="F32" s="18"/>
    </row>
    <row r="33" spans="2:6">
      <c r="B33" s="18"/>
      <c r="F33" s="18"/>
    </row>
    <row r="34" spans="2:6">
      <c r="B34" s="18"/>
      <c r="F34" s="18"/>
    </row>
    <row r="35" spans="2:6">
      <c r="B35" s="18"/>
      <c r="F35" s="18"/>
    </row>
    <row r="36" spans="2:6">
      <c r="B36" s="18"/>
      <c r="F36" s="18"/>
    </row>
    <row r="37" spans="2:6">
      <c r="B37" s="18"/>
      <c r="F37" s="18"/>
    </row>
    <row r="38" spans="2:6">
      <c r="B38" s="18"/>
      <c r="F38" s="18"/>
    </row>
    <row r="39" spans="2:6">
      <c r="B39" s="18"/>
      <c r="F39" s="18"/>
    </row>
    <row r="40" spans="2:6">
      <c r="B40" s="18"/>
      <c r="F40" s="18"/>
    </row>
    <row r="41" spans="2:6">
      <c r="B41" s="18"/>
      <c r="F41" s="18"/>
    </row>
    <row r="42" spans="2:6">
      <c r="B42" s="18"/>
      <c r="F42" s="18"/>
    </row>
    <row r="43" spans="2:6">
      <c r="B43" s="18"/>
      <c r="F43" s="18"/>
    </row>
    <row r="44" spans="2:6">
      <c r="B44" s="18"/>
      <c r="F44" s="18"/>
    </row>
    <row r="45" spans="2:6">
      <c r="B45" s="18"/>
      <c r="F45" s="18"/>
    </row>
    <row r="46" spans="2:6">
      <c r="B46" s="18"/>
      <c r="F46" s="18"/>
    </row>
    <row r="47" spans="2:6">
      <c r="B47" s="18"/>
      <c r="F47" s="18"/>
    </row>
    <row r="48" spans="2:6">
      <c r="B48" s="18"/>
      <c r="F48" s="18"/>
    </row>
    <row r="49" spans="2:6">
      <c r="B49" s="18"/>
      <c r="F49" s="18"/>
    </row>
    <row r="50" spans="2:6">
      <c r="B50" s="18"/>
      <c r="F50" s="18"/>
    </row>
    <row r="51" spans="2:6">
      <c r="B51" s="18"/>
      <c r="F51" s="18"/>
    </row>
    <row r="52" spans="2:6">
      <c r="B52" s="18"/>
      <c r="F52" s="18"/>
    </row>
    <row r="53" spans="2:6">
      <c r="B53" s="18"/>
      <c r="F53" s="18"/>
    </row>
    <row r="54" spans="2:6">
      <c r="B54" s="18"/>
      <c r="F54" s="18"/>
    </row>
    <row r="55" spans="2:6">
      <c r="B55" s="18"/>
      <c r="F55" s="18"/>
    </row>
    <row r="56" spans="2:6">
      <c r="B56" s="18"/>
      <c r="F56" s="18"/>
    </row>
    <row r="57" spans="2:6">
      <c r="B57" s="18"/>
      <c r="F57" s="18"/>
    </row>
    <row r="58" spans="2:6">
      <c r="B58" s="18"/>
      <c r="F58" s="18"/>
    </row>
    <row r="59" spans="2:6">
      <c r="B59" s="18"/>
      <c r="F59" s="18"/>
    </row>
    <row r="60" spans="2:6">
      <c r="B60" s="18"/>
      <c r="F60" s="18"/>
    </row>
    <row r="61" spans="2:6">
      <c r="B61" s="18"/>
      <c r="F61" s="18"/>
    </row>
    <row r="62" spans="2:6">
      <c r="B62" s="18"/>
      <c r="F62" s="18"/>
    </row>
    <row r="63" spans="2:6">
      <c r="B63" s="18"/>
      <c r="F63" s="18"/>
    </row>
    <row r="64" spans="2:6">
      <c r="B64" s="18"/>
      <c r="F64" s="18"/>
    </row>
    <row r="65" spans="2:6">
      <c r="B65" s="18"/>
      <c r="F65" s="18"/>
    </row>
    <row r="66" spans="2:6">
      <c r="B66" s="18"/>
      <c r="F66" s="18"/>
    </row>
    <row r="67" spans="2:6">
      <c r="B67" s="18"/>
      <c r="F67" s="18"/>
    </row>
    <row r="68" spans="2:6">
      <c r="B68" s="18"/>
      <c r="F68" s="18"/>
    </row>
    <row r="69" spans="2:6">
      <c r="B69" s="18"/>
      <c r="F69" s="18"/>
    </row>
    <row r="70" spans="2:6">
      <c r="B70" s="18"/>
      <c r="F70" s="18"/>
    </row>
    <row r="71" spans="2:6">
      <c r="B71" s="18"/>
      <c r="F71" s="18"/>
    </row>
    <row r="72" spans="2:6">
      <c r="B72" s="18"/>
      <c r="F72" s="18"/>
    </row>
    <row r="73" spans="2:6">
      <c r="B73" s="18"/>
      <c r="F73" s="18"/>
    </row>
    <row r="74" spans="2:6">
      <c r="B74" s="18"/>
      <c r="F74" s="18"/>
    </row>
    <row r="75" spans="2:6">
      <c r="B75" s="18"/>
      <c r="F75" s="18"/>
    </row>
    <row r="76" spans="2:6">
      <c r="B76" s="18"/>
      <c r="F76" s="18"/>
    </row>
    <row r="77" spans="2:6">
      <c r="B77" s="18"/>
      <c r="F77" s="18"/>
    </row>
    <row r="78" spans="2:6">
      <c r="B78" s="18"/>
      <c r="F78" s="18"/>
    </row>
    <row r="79" spans="2:6">
      <c r="B79" s="18"/>
      <c r="F79" s="18"/>
    </row>
    <row r="80" spans="2: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</sheetData>
  <phoneticPr fontId="7" type="noConversion"/>
  <hyperlinks>
    <hyperlink ref="P12" r:id="rId1" display="http://www.bav-astro.de/sfs/BAVM_link.php?BAVMnr=173" xr:uid="{00000000-0004-0000-0100-000000000000}"/>
    <hyperlink ref="P13" r:id="rId2" display="http://www.bav-astro.de/sfs/BAVM_link.php?BAVMnr=214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2023-08-15T01:37:48Z</dcterms:modified>
</cp:coreProperties>
</file>