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7E17332-1124-4C71-B3A4-D166E2F8582C}" xr6:coauthVersionLast="47" xr6:coauthVersionMax="47" xr10:uidLastSave="{00000000-0000-0000-0000-000000000000}"/>
  <bookViews>
    <workbookView xWindow="14655" yWindow="495" windowWidth="1347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L38" i="1" s="1"/>
  <c r="Q38" i="1"/>
  <c r="E39" i="1"/>
  <c r="F39" i="1" s="1"/>
  <c r="G39" i="1" s="1"/>
  <c r="L39" i="1" s="1"/>
  <c r="Q39" i="1"/>
  <c r="E40" i="1"/>
  <c r="F40" i="1"/>
  <c r="G40" i="1"/>
  <c r="L40" i="1" s="1"/>
  <c r="Q40" i="1"/>
  <c r="E41" i="1"/>
  <c r="F41" i="1"/>
  <c r="G41" i="1" s="1"/>
  <c r="L41" i="1" s="1"/>
  <c r="Q41" i="1"/>
  <c r="E42" i="1"/>
  <c r="F42" i="1" s="1"/>
  <c r="G42" i="1" s="1"/>
  <c r="L42" i="1" s="1"/>
  <c r="Q42" i="1"/>
  <c r="E43" i="1"/>
  <c r="F43" i="1" s="1"/>
  <c r="G43" i="1" s="1"/>
  <c r="L43" i="1" s="1"/>
  <c r="Q43" i="1"/>
  <c r="Q22" i="1"/>
  <c r="Q23" i="1"/>
  <c r="Q30" i="1"/>
  <c r="Q32" i="1"/>
  <c r="G20" i="2"/>
  <c r="C20" i="2"/>
  <c r="C21" i="1"/>
  <c r="G19" i="2"/>
  <c r="C19" i="2"/>
  <c r="G18" i="2"/>
  <c r="C18" i="2"/>
  <c r="G17" i="2"/>
  <c r="C17" i="2"/>
  <c r="G24" i="2"/>
  <c r="C24" i="2"/>
  <c r="G23" i="2"/>
  <c r="C23" i="2"/>
  <c r="G16" i="2"/>
  <c r="C16" i="2"/>
  <c r="G15" i="2"/>
  <c r="C15" i="2"/>
  <c r="G14" i="2"/>
  <c r="C14" i="2"/>
  <c r="G13" i="2"/>
  <c r="C13" i="2"/>
  <c r="G12" i="2"/>
  <c r="C12" i="2"/>
  <c r="G11" i="2"/>
  <c r="C11" i="2"/>
  <c r="G22" i="2"/>
  <c r="C22" i="2"/>
  <c r="G21" i="2"/>
  <c r="C21" i="2"/>
  <c r="E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24" i="2"/>
  <c r="B24" i="2"/>
  <c r="D24" i="2"/>
  <c r="A24" i="2"/>
  <c r="H23" i="2"/>
  <c r="B23" i="2"/>
  <c r="D23" i="2"/>
  <c r="A23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22" i="2"/>
  <c r="B22" i="2"/>
  <c r="D22" i="2"/>
  <c r="A22" i="2"/>
  <c r="H21" i="2"/>
  <c r="B21" i="2"/>
  <c r="D21" i="2"/>
  <c r="A21" i="2"/>
  <c r="Q36" i="1"/>
  <c r="F11" i="1"/>
  <c r="Q37" i="1"/>
  <c r="Q35" i="1"/>
  <c r="Q34" i="1"/>
  <c r="G11" i="1"/>
  <c r="E14" i="1"/>
  <c r="E15" i="1" s="1"/>
  <c r="C17" i="1"/>
  <c r="Q31" i="1"/>
  <c r="Q33" i="1"/>
  <c r="Q29" i="1"/>
  <c r="Q27" i="1"/>
  <c r="Q28" i="1"/>
  <c r="Q25" i="1"/>
  <c r="Q26" i="1"/>
  <c r="Q24" i="1"/>
  <c r="C7" i="1"/>
  <c r="E22" i="1"/>
  <c r="F22" i="1"/>
  <c r="C8" i="1"/>
  <c r="Q21" i="1"/>
  <c r="E11" i="2"/>
  <c r="E20" i="2"/>
  <c r="E24" i="2"/>
  <c r="E31" i="1"/>
  <c r="F31" i="1"/>
  <c r="G31" i="1"/>
  <c r="J31" i="1"/>
  <c r="G24" i="1"/>
  <c r="I24" i="1"/>
  <c r="E30" i="1"/>
  <c r="F30" i="1"/>
  <c r="G30" i="1"/>
  <c r="J30" i="1"/>
  <c r="E34" i="1"/>
  <c r="F34" i="1"/>
  <c r="G34" i="1"/>
  <c r="I34" i="1"/>
  <c r="E24" i="1"/>
  <c r="F24" i="1"/>
  <c r="E29" i="1"/>
  <c r="F29" i="1"/>
  <c r="G29" i="1"/>
  <c r="I29" i="1"/>
  <c r="G32" i="1"/>
  <c r="J32" i="1"/>
  <c r="E23" i="1"/>
  <c r="F23" i="1"/>
  <c r="G23" i="1"/>
  <c r="K23" i="1"/>
  <c r="E37" i="1"/>
  <c r="F37" i="1"/>
  <c r="E27" i="1"/>
  <c r="F27" i="1"/>
  <c r="E36" i="1"/>
  <c r="F36" i="1"/>
  <c r="G36" i="1"/>
  <c r="J36" i="1"/>
  <c r="E26" i="1"/>
  <c r="F26" i="1"/>
  <c r="G26" i="1"/>
  <c r="I26" i="1"/>
  <c r="E33" i="1"/>
  <c r="F33" i="1"/>
  <c r="G33" i="1"/>
  <c r="J33" i="1"/>
  <c r="E32" i="1"/>
  <c r="F32" i="1"/>
  <c r="G22" i="1"/>
  <c r="E21" i="1"/>
  <c r="F21" i="1"/>
  <c r="G21" i="1"/>
  <c r="H21" i="1"/>
  <c r="E28" i="1"/>
  <c r="G37" i="1"/>
  <c r="I37" i="1"/>
  <c r="E35" i="1"/>
  <c r="F35" i="1"/>
  <c r="G35" i="1"/>
  <c r="I35" i="1"/>
  <c r="G27" i="1"/>
  <c r="I27" i="1"/>
  <c r="E25" i="1"/>
  <c r="F25" i="1"/>
  <c r="G25" i="1"/>
  <c r="I25" i="1"/>
  <c r="K22" i="1"/>
  <c r="E13" i="2"/>
  <c r="E18" i="2"/>
  <c r="E23" i="2"/>
  <c r="E16" i="2"/>
  <c r="F28" i="1"/>
  <c r="G28" i="1"/>
  <c r="E15" i="2"/>
  <c r="E17" i="2"/>
  <c r="E14" i="2"/>
  <c r="E19" i="2"/>
  <c r="E12" i="2"/>
  <c r="E22" i="2"/>
  <c r="I28" i="1"/>
  <c r="C12" i="1"/>
  <c r="C11" i="1"/>
  <c r="O40" i="1" l="1"/>
  <c r="O39" i="1"/>
  <c r="O43" i="1"/>
  <c r="O41" i="1"/>
  <c r="O38" i="1"/>
  <c r="O42" i="1"/>
  <c r="O31" i="1"/>
  <c r="O28" i="1"/>
  <c r="O26" i="1"/>
  <c r="O33" i="1"/>
  <c r="O21" i="1"/>
  <c r="O29" i="1"/>
  <c r="O34" i="1"/>
  <c r="O23" i="1"/>
  <c r="O24" i="1"/>
  <c r="O30" i="1"/>
  <c r="C15" i="1"/>
  <c r="O25" i="1"/>
  <c r="O22" i="1"/>
  <c r="O27" i="1"/>
  <c r="O36" i="1"/>
  <c r="O35" i="1"/>
  <c r="O37" i="1"/>
  <c r="O32" i="1"/>
  <c r="C16" i="1"/>
  <c r="D18" i="1" s="1"/>
  <c r="E16" i="1" l="1"/>
  <c r="E17" i="1" s="1"/>
  <c r="C18" i="1"/>
</calcChain>
</file>

<file path=xl/sharedStrings.xml><?xml version="1.0" encoding="utf-8"?>
<sst xmlns="http://schemas.openxmlformats.org/spreadsheetml/2006/main" count="222" uniqueCount="136">
  <si>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</si>
  <si>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</si>
  <si>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</si>
  <si>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</si>
  <si>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</si>
  <si>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</si>
  <si>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</si>
  <si>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</si>
  <si>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</si>
  <si>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</si>
  <si>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</si>
  <si>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</si>
  <si>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</si>
  <si>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</si>
  <si>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</si>
  <si>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</si>
  <si>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</si>
  <si>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</si>
  <si>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</si>
  <si>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</si>
  <si>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</si>
  <si>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</si>
  <si>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</si>
  <si>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</si>
  <si>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</si>
  <si>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</si>
  <si>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S6</t>
  </si>
  <si>
    <t>Misc</t>
  </si>
  <si>
    <t>IBVS 5643</t>
  </si>
  <si>
    <t>IBVS</t>
  </si>
  <si>
    <t>EB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</si>
  <si>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</si>
  <si>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</si>
  <si>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</si>
  <si>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</si>
  <si>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</si>
  <si>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</si>
  <si>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</si>
  <si>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</si>
  <si>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</si>
  <si>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I</t>
  </si>
  <si>
    <t>IBVS 5802</t>
  </si>
  <si>
    <t>Start of linear fit &gt;&gt;&gt;&gt;&gt;&gt;&gt;&gt;&gt;&gt;&gt;&gt;&gt;&gt;&gt;&gt;&gt;&gt;&gt;&gt;&gt;</t>
  </si>
  <si>
    <t>IBVS 5871</t>
  </si>
  <si>
    <t>II</t>
  </si>
  <si>
    <t>OEJV 0107</t>
  </si>
  <si>
    <t>OEJV</t>
  </si>
  <si>
    <t>Add cycle</t>
  </si>
  <si>
    <t>Old Cycle</t>
  </si>
  <si>
    <t>IBVS 6010</t>
  </si>
  <si>
    <t>MU Gem / GSC 0760-1686</t>
  </si>
  <si>
    <t>IBVS 6042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</si>
  <si>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</si>
  <si>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</si>
  <si>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</si>
  <si>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</si>
  <si>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</si>
  <si>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</si>
  <si>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</si>
  <si>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</si>
  <si>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</si>
  <si>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</si>
  <si>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</si>
  <si>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</si>
  <si>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</si>
  <si>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2447826.462 </t>
  </si>
  <si>
    <t> 26.10.1989 23:05 </t>
  </si>
  <si>
    <t> -0.021 </t>
  </si>
  <si>
    <t> P.Frank </t>
  </si>
  <si>
    <t>BAVM 179 </t>
  </si>
  <si>
    <t>2448275.284 </t>
  </si>
  <si>
    <t> 18.01.1991 18:48 </t>
  </si>
  <si>
    <t> 0.009 </t>
  </si>
  <si>
    <t>2452279.5550 </t>
  </si>
  <si>
    <t> 05.01.2002 01:19 </t>
  </si>
  <si>
    <t> 0.3767 </t>
  </si>
  <si>
    <t>E </t>
  </si>
  <si>
    <t>-I</t>
  </si>
  <si>
    <t> F.Agerer </t>
  </si>
  <si>
    <t>BAVM 172 </t>
  </si>
  <si>
    <t>2453759.5548 </t>
  </si>
  <si>
    <t> 24.01.2006 01:18 </t>
  </si>
  <si>
    <t>32264.5</t>
  </si>
  <si>
    <t> 0.3809 </t>
  </si>
  <si>
    <t>C </t>
  </si>
  <si>
    <t>BAVM 178 </t>
  </si>
  <si>
    <t>2453762.4595 </t>
  </si>
  <si>
    <t> 26.01.2006 23:01 </t>
  </si>
  <si>
    <t>32268.5</t>
  </si>
  <si>
    <t> 0.3808 </t>
  </si>
  <si>
    <t>2454096.5088 </t>
  </si>
  <si>
    <t> 27.12.2006 00:12 </t>
  </si>
  <si>
    <t>32728.5</t>
  </si>
  <si>
    <t> 0.3781 </t>
  </si>
  <si>
    <t>BAVM 183 </t>
  </si>
  <si>
    <t>2454149.5246 </t>
  </si>
  <si>
    <t> 18.02.2007 00:35 </t>
  </si>
  <si>
    <t>32801.5</t>
  </si>
  <si>
    <t> 0.3813 </t>
  </si>
  <si>
    <t>BAVM 186 </t>
  </si>
  <si>
    <t>2454812.9117 </t>
  </si>
  <si>
    <t> 12.12.2008 09:52 </t>
  </si>
  <si>
    <t>33715</t>
  </si>
  <si>
    <t> 0.3847 </t>
  </si>
  <si>
    <t> R.Diethelm </t>
  </si>
  <si>
    <t>IBVS 5871 </t>
  </si>
  <si>
    <t>2454829.6122 </t>
  </si>
  <si>
    <t> 29.12.2008 02:41 </t>
  </si>
  <si>
    <t>33738</t>
  </si>
  <si>
    <t> 0.3826 </t>
  </si>
  <si>
    <t> J.Trnka </t>
  </si>
  <si>
    <t>OEJV 0107 </t>
  </si>
  <si>
    <t>2454830.3379 </t>
  </si>
  <si>
    <t> 29.12.2008 20:06 </t>
  </si>
  <si>
    <t>33739</t>
  </si>
  <si>
    <t> 0.3821 </t>
  </si>
  <si>
    <t>2455590.3097 </t>
  </si>
  <si>
    <t> 28.01.2011 19:25 </t>
  </si>
  <si>
    <t>34785.5</t>
  </si>
  <si>
    <t> 0.3856 </t>
  </si>
  <si>
    <t>BAVM 220 </t>
  </si>
  <si>
    <t>2455624.4375 </t>
  </si>
  <si>
    <t> 03.03.2011 22:30 </t>
  </si>
  <si>
    <t>34832.5</t>
  </si>
  <si>
    <t> 0.3820 </t>
  </si>
  <si>
    <t>2455878.6083 </t>
  </si>
  <si>
    <t> 13.11.2011 02:35 </t>
  </si>
  <si>
    <t>35182.5</t>
  </si>
  <si>
    <t> 0.3828 </t>
  </si>
  <si>
    <t>OEJV 0160 </t>
  </si>
  <si>
    <t>2456279.837 </t>
  </si>
  <si>
    <t> 18.12.2012 08:05 </t>
  </si>
  <si>
    <t>35735</t>
  </si>
  <si>
    <t> 0.386 </t>
  </si>
  <si>
    <t>IBVS 6042 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</si>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</sst>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6" fontId="20" fillId="0" borderId="0" xfId="0" applyNumberFormat="1" applyFont="1" applyAlignment="1" applyProtection="1">
      <alignment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Gem - O-C Diagr.</a:t>
            </a:r>
          </a:p>
        </c:rich>
      </c:tx>
      <c:layout>
        <c:manualLayout>
          <c:xMode val="edge"/>
          <c:yMode val="edge"/>
          <c:x val="0.3715673828332040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906854902912253"/>
          <c:w val="0.806139569665325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E-49A8-9503-5DE341194A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1.359999999840511E-2</c:v>
                </c:pt>
                <c:pt idx="4">
                  <c:v>1.780000000144355E-2</c:v>
                </c:pt>
                <c:pt idx="5">
                  <c:v>1.7699999996693805E-2</c:v>
                </c:pt>
                <c:pt idx="6">
                  <c:v>1.5000000006693881E-2</c:v>
                </c:pt>
                <c:pt idx="7">
                  <c:v>1.8199999998614658E-2</c:v>
                </c:pt>
                <c:pt idx="8">
                  <c:v>2.1600000000034925E-2</c:v>
                </c:pt>
                <c:pt idx="13">
                  <c:v>2.2499999999126885E-2</c:v>
                </c:pt>
                <c:pt idx="14">
                  <c:v>1.8900000002759043E-2</c:v>
                </c:pt>
                <c:pt idx="16">
                  <c:v>2.2899999996297993E-2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E-49A8-9503-5DE341194A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1.9500000009429641E-2</c:v>
                </c:pt>
                <c:pt idx="10">
                  <c:v>1.9540000008419156E-2</c:v>
                </c:pt>
                <c:pt idx="11">
                  <c:v>1.9000000000232831E-2</c:v>
                </c:pt>
                <c:pt idx="12">
                  <c:v>1.9050000002607703E-2</c:v>
                </c:pt>
                <c:pt idx="15">
                  <c:v>1.9699999997101258E-2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9E-49A8-9503-5DE341194A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-2.1000000000640284E-2</c:v>
                </c:pt>
                <c:pt idx="2">
                  <c:v>9.4000000026426278E-3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9E-49A8-9503-5DE341194A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7">
                  <c:v>2.1500000002561137E-2</c:v>
                </c:pt>
                <c:pt idx="18">
                  <c:v>2.3099999998521525E-2</c:v>
                </c:pt>
                <c:pt idx="19">
                  <c:v>2.5499999996100087E-2</c:v>
                </c:pt>
                <c:pt idx="20">
                  <c:v>2.4700000001757871E-2</c:v>
                </c:pt>
                <c:pt idx="21">
                  <c:v>2.4799999999231659E-2</c:v>
                </c:pt>
                <c:pt idx="22">
                  <c:v>2.4900000003981404E-2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9E-49A8-9503-5DE341194A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9E-49A8-9503-5DE341194A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9E-49A8-9503-5DE341194A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-4.1060085161861333E-2</c:v>
                </c:pt>
                <c:pt idx="1">
                  <c:v>3.5810489886897029E-4</c:v>
                </c:pt>
                <c:pt idx="2">
                  <c:v>1.4204183023772202E-3</c:v>
                </c:pt>
                <c:pt idx="3">
                  <c:v>1.0898729155038221E-2</c:v>
                </c:pt>
                <c:pt idx="4">
                  <c:v>1.4401956851397148E-2</c:v>
                </c:pt>
                <c:pt idx="5">
                  <c:v>1.440883266630659E-2</c:v>
                </c:pt>
                <c:pt idx="6">
                  <c:v>1.5199551380892018E-2</c:v>
                </c:pt>
                <c:pt idx="7">
                  <c:v>1.5325035002989269E-2</c:v>
                </c:pt>
                <c:pt idx="8">
                  <c:v>1.6895299232932294E-2</c:v>
                </c:pt>
                <c:pt idx="9">
                  <c:v>1.6934835168661566E-2</c:v>
                </c:pt>
                <c:pt idx="10">
                  <c:v>1.6934835168661566E-2</c:v>
                </c:pt>
                <c:pt idx="11">
                  <c:v>1.6936554122388925E-2</c:v>
                </c:pt>
                <c:pt idx="12">
                  <c:v>1.6936554122388925E-2</c:v>
                </c:pt>
                <c:pt idx="13">
                  <c:v>1.8735439198070782E-2</c:v>
                </c:pt>
                <c:pt idx="14">
                  <c:v>1.8816230023256685E-2</c:v>
                </c:pt>
                <c:pt idx="15">
                  <c:v>1.9417863827832553E-2</c:v>
                </c:pt>
                <c:pt idx="16">
                  <c:v>2.0367585762198749E-2</c:v>
                </c:pt>
                <c:pt idx="17">
                  <c:v>2.4618558329959121E-2</c:v>
                </c:pt>
                <c:pt idx="18">
                  <c:v>2.4701068108872383E-2</c:v>
                </c:pt>
                <c:pt idx="19">
                  <c:v>2.8327200996737516E-2</c:v>
                </c:pt>
                <c:pt idx="20">
                  <c:v>2.83409526265564E-2</c:v>
                </c:pt>
                <c:pt idx="21">
                  <c:v>2.8891017819311478E-2</c:v>
                </c:pt>
                <c:pt idx="22">
                  <c:v>2.9023377256318171E-2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9E-49A8-9503-5DE34119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966496"/>
        <c:axId val="1"/>
      </c:scatterChart>
      <c:valAx>
        <c:axId val="79796649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96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1925596256989606"/>
          <c:w val="0.7463656138297737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Gem - O-C Diagr.</a:t>
            </a:r>
          </a:p>
        </c:rich>
      </c:tx>
      <c:layout>
        <c:manualLayout>
          <c:xMode val="edge"/>
          <c:yMode val="edge"/>
          <c:x val="0.3709677419354838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096774193548387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A5-4DFE-8BD4-D5486216D0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1.359999999840511E-2</c:v>
                </c:pt>
                <c:pt idx="4">
                  <c:v>1.780000000144355E-2</c:v>
                </c:pt>
                <c:pt idx="5">
                  <c:v>1.7699999996693805E-2</c:v>
                </c:pt>
                <c:pt idx="6">
                  <c:v>1.5000000006693881E-2</c:v>
                </c:pt>
                <c:pt idx="7">
                  <c:v>1.8199999998614658E-2</c:v>
                </c:pt>
                <c:pt idx="8">
                  <c:v>2.1600000000034925E-2</c:v>
                </c:pt>
                <c:pt idx="13">
                  <c:v>2.2499999999126885E-2</c:v>
                </c:pt>
                <c:pt idx="14">
                  <c:v>1.8900000002759043E-2</c:v>
                </c:pt>
                <c:pt idx="16">
                  <c:v>2.2899999996297993E-2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A5-4DFE-8BD4-D5486216D0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1.9500000009429641E-2</c:v>
                </c:pt>
                <c:pt idx="10">
                  <c:v>1.9540000008419156E-2</c:v>
                </c:pt>
                <c:pt idx="11">
                  <c:v>1.9000000000232831E-2</c:v>
                </c:pt>
                <c:pt idx="12">
                  <c:v>1.9050000002607703E-2</c:v>
                </c:pt>
                <c:pt idx="15">
                  <c:v>1.9699999997101258E-2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A5-4DFE-8BD4-D5486216D0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-2.1000000000640284E-2</c:v>
                </c:pt>
                <c:pt idx="2">
                  <c:v>9.4000000026426278E-3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A5-4DFE-8BD4-D5486216D0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7">
                  <c:v>2.1500000002561137E-2</c:v>
                </c:pt>
                <c:pt idx="18">
                  <c:v>2.3099999998521525E-2</c:v>
                </c:pt>
                <c:pt idx="19">
                  <c:v>2.5499999996100087E-2</c:v>
                </c:pt>
                <c:pt idx="20">
                  <c:v>2.4700000001757871E-2</c:v>
                </c:pt>
                <c:pt idx="21">
                  <c:v>2.4799999999231659E-2</c:v>
                </c:pt>
                <c:pt idx="22">
                  <c:v>2.4900000003981404E-2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A5-4DFE-8BD4-D5486216D0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A5-4DFE-8BD4-D5486216D0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A5-4DFE-8BD4-D5486216D0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-4.1060085161861333E-2</c:v>
                </c:pt>
                <c:pt idx="1">
                  <c:v>3.5810489886897029E-4</c:v>
                </c:pt>
                <c:pt idx="2">
                  <c:v>1.4204183023772202E-3</c:v>
                </c:pt>
                <c:pt idx="3">
                  <c:v>1.0898729155038221E-2</c:v>
                </c:pt>
                <c:pt idx="4">
                  <c:v>1.4401956851397148E-2</c:v>
                </c:pt>
                <c:pt idx="5">
                  <c:v>1.440883266630659E-2</c:v>
                </c:pt>
                <c:pt idx="6">
                  <c:v>1.5199551380892018E-2</c:v>
                </c:pt>
                <c:pt idx="7">
                  <c:v>1.5325035002989269E-2</c:v>
                </c:pt>
                <c:pt idx="8">
                  <c:v>1.6895299232932294E-2</c:v>
                </c:pt>
                <c:pt idx="9">
                  <c:v>1.6934835168661566E-2</c:v>
                </c:pt>
                <c:pt idx="10">
                  <c:v>1.6934835168661566E-2</c:v>
                </c:pt>
                <c:pt idx="11">
                  <c:v>1.6936554122388925E-2</c:v>
                </c:pt>
                <c:pt idx="12">
                  <c:v>1.6936554122388925E-2</c:v>
                </c:pt>
                <c:pt idx="13">
                  <c:v>1.8735439198070782E-2</c:v>
                </c:pt>
                <c:pt idx="14">
                  <c:v>1.8816230023256685E-2</c:v>
                </c:pt>
                <c:pt idx="15">
                  <c:v>1.9417863827832553E-2</c:v>
                </c:pt>
                <c:pt idx="16">
                  <c:v>2.0367585762198749E-2</c:v>
                </c:pt>
                <c:pt idx="17">
                  <c:v>2.4618558329959121E-2</c:v>
                </c:pt>
                <c:pt idx="18">
                  <c:v>2.4701068108872383E-2</c:v>
                </c:pt>
                <c:pt idx="19">
                  <c:v>2.8327200996737516E-2</c:v>
                </c:pt>
                <c:pt idx="20">
                  <c:v>2.83409526265564E-2</c:v>
                </c:pt>
                <c:pt idx="21">
                  <c:v>2.8891017819311478E-2</c:v>
                </c:pt>
                <c:pt idx="22">
                  <c:v>2.9023377256318171E-2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A5-4DFE-8BD4-D5486216D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563248"/>
        <c:axId val="1"/>
      </c:scatterChart>
      <c:valAx>
        <c:axId val="718563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563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1950464396284826"/>
          <c:w val="0.7451612903225806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15</xdr:col>
      <xdr:colOff>247650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1DADB3C-AB4C-56C2-BC46-715F8AA81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B659DA3B-D661-0B68-AC9B-1AA5CF1D6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71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79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var.astro.cz/oejv/issues/oejv0107.pdf" TargetMode="External"/><Relationship Id="rId14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</row>
    <row r="2" spans="1:7" x14ac:dyDescent="0.2">
      <c r="A2" t="s">
        <v>24</v>
      </c>
      <c r="B2" s="11" t="s">
        <v>30</v>
      </c>
    </row>
    <row r="4" spans="1:7" x14ac:dyDescent="0.2">
      <c r="A4" s="6" t="s">
        <v>0</v>
      </c>
      <c r="C4" s="3">
        <v>30328.694</v>
      </c>
      <c r="D4" s="4">
        <v>0.72619999999999996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30328.694</v>
      </c>
    </row>
    <row r="8" spans="1:7" x14ac:dyDescent="0.2">
      <c r="A8" t="s">
        <v>3</v>
      </c>
      <c r="C8">
        <f>+D4</f>
        <v>0.72619999999999996</v>
      </c>
    </row>
    <row r="9" spans="1:7" x14ac:dyDescent="0.2">
      <c r="A9" s="14" t="s">
        <v>33</v>
      </c>
      <c r="B9" s="11"/>
      <c r="C9" s="15">
        <v>-9.5</v>
      </c>
      <c r="D9" s="11" t="s">
        <v>34</v>
      </c>
      <c r="E9" s="11"/>
    </row>
    <row r="10" spans="1:7" ht="13.5" thickBot="1" x14ac:dyDescent="0.25">
      <c r="A10" s="11"/>
      <c r="B10" s="11"/>
      <c r="C10" s="5" t="s">
        <v>20</v>
      </c>
      <c r="D10" s="5" t="s">
        <v>21</v>
      </c>
      <c r="E10" s="11"/>
    </row>
    <row r="11" spans="1:7" x14ac:dyDescent="0.2">
      <c r="A11" s="11" t="s">
        <v>16</v>
      </c>
      <c r="B11" s="11"/>
      <c r="C11" s="30">
        <f ca="1">INTERCEPT(INDIRECT($G$11):G992,INDIRECT($F$11):F992)</f>
        <v>-4.1060085161861333E-2</v>
      </c>
      <c r="D11" s="16"/>
      <c r="E11" s="11"/>
      <c r="F11" s="31" t="str">
        <f>"F"&amp;E19</f>
        <v>F22</v>
      </c>
      <c r="G11" s="32" t="str">
        <f>"G"&amp;E19</f>
        <v>G22</v>
      </c>
    </row>
    <row r="12" spans="1:7" x14ac:dyDescent="0.2">
      <c r="A12" s="11" t="s">
        <v>17</v>
      </c>
      <c r="B12" s="11"/>
      <c r="C12" s="30">
        <f ca="1">SLOPE(INDIRECT($G$11):G992,INDIRECT($F$11):F992)</f>
        <v>1.7189537273596306E-6</v>
      </c>
      <c r="D12" s="16"/>
      <c r="E12" s="11"/>
    </row>
    <row r="13" spans="1:7" x14ac:dyDescent="0.2">
      <c r="A13" s="11" t="s">
        <v>19</v>
      </c>
      <c r="B13" s="11"/>
      <c r="C13" s="16" t="s">
        <v>14</v>
      </c>
      <c r="D13" s="19" t="s">
        <v>47</v>
      </c>
      <c r="E13" s="15">
        <v>1</v>
      </c>
    </row>
    <row r="14" spans="1:7" x14ac:dyDescent="0.2">
      <c r="A14" s="11"/>
      <c r="B14" s="11"/>
      <c r="C14" s="11"/>
      <c r="D14" s="19" t="s">
        <v>35</v>
      </c>
      <c r="E14" s="20">
        <f ca="1">NOW()+15018.5+$C$9/24</f>
        <v>60171.569271412038</v>
      </c>
    </row>
    <row r="15" spans="1:7" x14ac:dyDescent="0.2">
      <c r="A15" s="17" t="s">
        <v>18</v>
      </c>
      <c r="B15" s="11"/>
      <c r="C15" s="18">
        <f ca="1">(C7+C11)+(C8+C12)*INT(MAX(F21:F3533))</f>
        <v>59936.623223377253</v>
      </c>
      <c r="D15" s="19" t="s">
        <v>48</v>
      </c>
      <c r="E15" s="20">
        <f ca="1">ROUND(2*(E14-$C$7)/$C$8,0)/2+E13</f>
        <v>41095.5</v>
      </c>
    </row>
    <row r="16" spans="1:7" x14ac:dyDescent="0.2">
      <c r="A16" s="21" t="s">
        <v>4</v>
      </c>
      <c r="B16" s="11"/>
      <c r="C16" s="22">
        <f ca="1">+C8+C12</f>
        <v>0.72620171895372732</v>
      </c>
      <c r="D16" s="19" t="s">
        <v>36</v>
      </c>
      <c r="E16" s="32">
        <f ca="1">ROUND(2*(E14-$C$15)/$C$16,0)/2+E13</f>
        <v>324.5</v>
      </c>
    </row>
    <row r="17" spans="1:17" ht="13.5" thickBot="1" x14ac:dyDescent="0.25">
      <c r="A17" s="19" t="s">
        <v>31</v>
      </c>
      <c r="B17" s="11"/>
      <c r="C17" s="11">
        <f>COUNT(C21:C2191)</f>
        <v>23</v>
      </c>
      <c r="D17" s="19" t="s">
        <v>37</v>
      </c>
      <c r="E17" s="23">
        <f ca="1">+$C$15+$C$16*E16-15018.5-$C$9/24</f>
        <v>45154.171514511072</v>
      </c>
    </row>
    <row r="18" spans="1:17" x14ac:dyDescent="0.2">
      <c r="A18" s="21" t="s">
        <v>5</v>
      </c>
      <c r="B18" s="11"/>
      <c r="C18" s="24">
        <f ca="1">+C15</f>
        <v>59936.623223377253</v>
      </c>
      <c r="D18" s="25">
        <f ca="1">+C16</f>
        <v>0.72620171895372732</v>
      </c>
      <c r="E18" s="26" t="s">
        <v>38</v>
      </c>
    </row>
    <row r="19" spans="1:17" ht="13.5" thickTop="1" x14ac:dyDescent="0.2">
      <c r="A19" s="33" t="s">
        <v>42</v>
      </c>
      <c r="E19" s="34">
        <v>22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29</v>
      </c>
      <c r="J20" s="8" t="s">
        <v>46</v>
      </c>
      <c r="K20" s="8" t="s">
        <v>25</v>
      </c>
      <c r="L20" s="8" t="s">
        <v>55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2">
        <f>+C4</f>
        <v>30328.694</v>
      </c>
      <c r="D21" s="12" t="s">
        <v>14</v>
      </c>
      <c r="E21">
        <f t="shared" ref="E21:E37" si="0">+(C21-C$7)/C$8</f>
        <v>0</v>
      </c>
      <c r="F21">
        <f t="shared" ref="F21:F37" si="1">ROUND(2*E21,0)/2</f>
        <v>0</v>
      </c>
      <c r="G21">
        <f t="shared" ref="G21:G37" si="2">+C21-(C$7+F21*C$8)</f>
        <v>0</v>
      </c>
      <c r="H21">
        <f>+G21</f>
        <v>0</v>
      </c>
      <c r="O21">
        <f t="shared" ref="O21:O37" ca="1" si="3">+C$11+C$12*$F21</f>
        <v>-4.1060085161861333E-2</v>
      </c>
      <c r="Q21" s="2">
        <f t="shared" ref="Q21:Q37" si="4">+C21-15018.5</f>
        <v>15310.194</v>
      </c>
    </row>
    <row r="22" spans="1:17" x14ac:dyDescent="0.2">
      <c r="A22" s="57" t="s">
        <v>69</v>
      </c>
      <c r="B22" s="59" t="s">
        <v>40</v>
      </c>
      <c r="C22" s="58">
        <v>47826.462</v>
      </c>
      <c r="D22" s="58" t="s">
        <v>63</v>
      </c>
      <c r="E22">
        <f t="shared" si="0"/>
        <v>24094.971082346463</v>
      </c>
      <c r="F22">
        <f t="shared" si="1"/>
        <v>24095</v>
      </c>
      <c r="G22">
        <f t="shared" si="2"/>
        <v>-2.1000000000640284E-2</v>
      </c>
      <c r="K22">
        <f>+G22</f>
        <v>-2.1000000000640284E-2</v>
      </c>
      <c r="O22">
        <f t="shared" ca="1" si="3"/>
        <v>3.5810489886897029E-4</v>
      </c>
      <c r="Q22" s="2">
        <f t="shared" si="4"/>
        <v>32807.962</v>
      </c>
    </row>
    <row r="23" spans="1:17" x14ac:dyDescent="0.2">
      <c r="A23" s="57" t="s">
        <v>69</v>
      </c>
      <c r="B23" s="59" t="s">
        <v>40</v>
      </c>
      <c r="C23" s="58">
        <v>48275.284</v>
      </c>
      <c r="D23" s="58" t="s">
        <v>63</v>
      </c>
      <c r="E23">
        <f t="shared" si="0"/>
        <v>24713.012944092538</v>
      </c>
      <c r="F23">
        <f t="shared" si="1"/>
        <v>24713</v>
      </c>
      <c r="G23">
        <f t="shared" si="2"/>
        <v>9.4000000026426278E-3</v>
      </c>
      <c r="K23">
        <f>+G23</f>
        <v>9.4000000026426278E-3</v>
      </c>
      <c r="O23">
        <f t="shared" ca="1" si="3"/>
        <v>1.4204183023772202E-3</v>
      </c>
      <c r="Q23" s="2">
        <f t="shared" si="4"/>
        <v>33256.784</v>
      </c>
    </row>
    <row r="24" spans="1:17" x14ac:dyDescent="0.2">
      <c r="A24" s="9" t="s">
        <v>28</v>
      </c>
      <c r="B24" s="10"/>
      <c r="C24" s="13">
        <v>52279.555</v>
      </c>
      <c r="D24" s="13">
        <v>8.0000000000000004E-4</v>
      </c>
      <c r="E24">
        <f t="shared" si="0"/>
        <v>30227.018727623246</v>
      </c>
      <c r="F24">
        <f t="shared" si="1"/>
        <v>30227</v>
      </c>
      <c r="G24">
        <f t="shared" si="2"/>
        <v>1.359999999840511E-2</v>
      </c>
      <c r="I24">
        <f t="shared" ref="I24:I29" si="5">+G24</f>
        <v>1.359999999840511E-2</v>
      </c>
      <c r="O24">
        <f t="shared" ca="1" si="3"/>
        <v>1.0898729155038221E-2</v>
      </c>
      <c r="Q24" s="2">
        <f t="shared" si="4"/>
        <v>37261.055</v>
      </c>
    </row>
    <row r="25" spans="1:17" x14ac:dyDescent="0.2">
      <c r="A25" s="11" t="s">
        <v>32</v>
      </c>
      <c r="B25" s="10"/>
      <c r="C25" s="12">
        <v>53759.554799999998</v>
      </c>
      <c r="D25" s="12">
        <v>1.8E-3</v>
      </c>
      <c r="E25">
        <f t="shared" si="0"/>
        <v>32265.024511153952</v>
      </c>
      <c r="F25">
        <f t="shared" si="1"/>
        <v>32265</v>
      </c>
      <c r="G25">
        <f t="shared" si="2"/>
        <v>1.780000000144355E-2</v>
      </c>
      <c r="I25">
        <f t="shared" si="5"/>
        <v>1.780000000144355E-2</v>
      </c>
      <c r="O25">
        <f t="shared" ca="1" si="3"/>
        <v>1.4401956851397148E-2</v>
      </c>
      <c r="Q25" s="2">
        <f t="shared" si="4"/>
        <v>38741.054799999998</v>
      </c>
    </row>
    <row r="26" spans="1:17" x14ac:dyDescent="0.2">
      <c r="A26" s="11" t="s">
        <v>32</v>
      </c>
      <c r="B26" s="10"/>
      <c r="C26" s="12">
        <v>53762.459499999997</v>
      </c>
      <c r="D26" s="12">
        <v>5.9999999999999995E-4</v>
      </c>
      <c r="E26">
        <f t="shared" si="0"/>
        <v>32269.02437345084</v>
      </c>
      <c r="F26">
        <f t="shared" si="1"/>
        <v>32269</v>
      </c>
      <c r="G26">
        <f t="shared" si="2"/>
        <v>1.7699999996693805E-2</v>
      </c>
      <c r="I26">
        <f t="shared" si="5"/>
        <v>1.7699999996693805E-2</v>
      </c>
      <c r="O26">
        <f t="shared" ca="1" si="3"/>
        <v>1.440883266630659E-2</v>
      </c>
      <c r="Q26" s="2">
        <f t="shared" si="4"/>
        <v>38743.959499999997</v>
      </c>
    </row>
    <row r="27" spans="1:17" x14ac:dyDescent="0.2">
      <c r="A27" s="27" t="s">
        <v>39</v>
      </c>
      <c r="B27" s="28" t="s">
        <v>40</v>
      </c>
      <c r="C27" s="12">
        <v>54096.508800000003</v>
      </c>
      <c r="D27" s="12">
        <v>2.7000000000000001E-3</v>
      </c>
      <c r="E27">
        <f t="shared" si="0"/>
        <v>32729.020655466822</v>
      </c>
      <c r="F27">
        <f t="shared" si="1"/>
        <v>32729</v>
      </c>
      <c r="G27">
        <f t="shared" si="2"/>
        <v>1.5000000006693881E-2</v>
      </c>
      <c r="I27">
        <f t="shared" si="5"/>
        <v>1.5000000006693881E-2</v>
      </c>
      <c r="O27">
        <f t="shared" ca="1" si="3"/>
        <v>1.5199551380892018E-2</v>
      </c>
      <c r="Q27" s="2">
        <f t="shared" si="4"/>
        <v>39078.008800000003</v>
      </c>
    </row>
    <row r="28" spans="1:17" x14ac:dyDescent="0.2">
      <c r="A28" s="29" t="s">
        <v>41</v>
      </c>
      <c r="B28" s="28"/>
      <c r="C28" s="12">
        <v>54149.524599999997</v>
      </c>
      <c r="D28" s="12">
        <v>2.7000000000000001E-3</v>
      </c>
      <c r="E28">
        <f t="shared" si="0"/>
        <v>32802.0250619664</v>
      </c>
      <c r="F28">
        <f t="shared" si="1"/>
        <v>32802</v>
      </c>
      <c r="G28">
        <f t="shared" si="2"/>
        <v>1.8199999998614658E-2</v>
      </c>
      <c r="I28">
        <f t="shared" si="5"/>
        <v>1.8199999998614658E-2</v>
      </c>
      <c r="O28">
        <f t="shared" ca="1" si="3"/>
        <v>1.5325035002989269E-2</v>
      </c>
      <c r="Q28" s="2">
        <f t="shared" si="4"/>
        <v>39131.024599999997</v>
      </c>
    </row>
    <row r="29" spans="1:17" x14ac:dyDescent="0.2">
      <c r="A29" s="29" t="s">
        <v>43</v>
      </c>
      <c r="B29" s="35" t="s">
        <v>44</v>
      </c>
      <c r="C29" s="29">
        <v>54812.911699999997</v>
      </c>
      <c r="D29" s="29">
        <v>8.9999999999999998E-4</v>
      </c>
      <c r="E29">
        <f t="shared" si="0"/>
        <v>33715.529743872212</v>
      </c>
      <c r="F29">
        <f t="shared" si="1"/>
        <v>33715.5</v>
      </c>
      <c r="G29">
        <f t="shared" si="2"/>
        <v>2.1600000000034925E-2</v>
      </c>
      <c r="I29">
        <f t="shared" si="5"/>
        <v>2.1600000000034925E-2</v>
      </c>
      <c r="O29">
        <f t="shared" ca="1" si="3"/>
        <v>1.6895299232932294E-2</v>
      </c>
      <c r="Q29" s="2">
        <f t="shared" si="4"/>
        <v>39794.411699999997</v>
      </c>
    </row>
    <row r="30" spans="1:17" x14ac:dyDescent="0.2">
      <c r="A30" s="57" t="s">
        <v>111</v>
      </c>
      <c r="B30" s="59" t="s">
        <v>40</v>
      </c>
      <c r="C30" s="58">
        <v>54829.612200000003</v>
      </c>
      <c r="D30" s="58" t="s">
        <v>63</v>
      </c>
      <c r="E30">
        <f t="shared" si="0"/>
        <v>33738.526852106865</v>
      </c>
      <c r="F30">
        <f t="shared" si="1"/>
        <v>33738.5</v>
      </c>
      <c r="G30">
        <f t="shared" si="2"/>
        <v>1.9500000009429641E-2</v>
      </c>
      <c r="J30">
        <f>+G30</f>
        <v>1.9500000009429641E-2</v>
      </c>
      <c r="O30">
        <f t="shared" ca="1" si="3"/>
        <v>1.6934835168661566E-2</v>
      </c>
      <c r="Q30" s="2">
        <f t="shared" si="4"/>
        <v>39811.112200000003</v>
      </c>
    </row>
    <row r="31" spans="1:17" x14ac:dyDescent="0.2">
      <c r="A31" s="27" t="s">
        <v>45</v>
      </c>
      <c r="B31" s="35" t="s">
        <v>44</v>
      </c>
      <c r="C31" s="29">
        <v>54829.612240000002</v>
      </c>
      <c r="D31" s="29">
        <v>2.9999999999999997E-4</v>
      </c>
      <c r="E31">
        <f t="shared" si="0"/>
        <v>33738.526907188105</v>
      </c>
      <c r="F31">
        <f t="shared" si="1"/>
        <v>33738.5</v>
      </c>
      <c r="G31">
        <f t="shared" si="2"/>
        <v>1.9540000008419156E-2</v>
      </c>
      <c r="J31">
        <f>+G31</f>
        <v>1.9540000008419156E-2</v>
      </c>
      <c r="O31">
        <f t="shared" ca="1" si="3"/>
        <v>1.6934835168661566E-2</v>
      </c>
      <c r="Q31" s="2">
        <f t="shared" si="4"/>
        <v>39811.112240000002</v>
      </c>
    </row>
    <row r="32" spans="1:17" x14ac:dyDescent="0.2">
      <c r="A32" s="57" t="s">
        <v>111</v>
      </c>
      <c r="B32" s="59" t="s">
        <v>40</v>
      </c>
      <c r="C32" s="58">
        <v>54830.337899999999</v>
      </c>
      <c r="D32" s="58" t="s">
        <v>63</v>
      </c>
      <c r="E32">
        <f t="shared" si="0"/>
        <v>33739.526163591298</v>
      </c>
      <c r="F32">
        <f t="shared" si="1"/>
        <v>33739.5</v>
      </c>
      <c r="G32">
        <f t="shared" si="2"/>
        <v>1.9000000000232831E-2</v>
      </c>
      <c r="J32">
        <f>+G32</f>
        <v>1.9000000000232831E-2</v>
      </c>
      <c r="O32">
        <f t="shared" ca="1" si="3"/>
        <v>1.6936554122388925E-2</v>
      </c>
      <c r="Q32" s="2">
        <f t="shared" si="4"/>
        <v>39811.837899999999</v>
      </c>
    </row>
    <row r="33" spans="1:17" x14ac:dyDescent="0.2">
      <c r="A33" s="27" t="s">
        <v>45</v>
      </c>
      <c r="B33" s="35" t="s">
        <v>44</v>
      </c>
      <c r="C33" s="29">
        <v>54830.337950000001</v>
      </c>
      <c r="D33" s="29">
        <v>2.9999999999999997E-4</v>
      </c>
      <c r="E33">
        <f t="shared" si="0"/>
        <v>33739.526232442855</v>
      </c>
      <c r="F33">
        <f t="shared" si="1"/>
        <v>33739.5</v>
      </c>
      <c r="G33">
        <f t="shared" si="2"/>
        <v>1.9050000002607703E-2</v>
      </c>
      <c r="J33">
        <f>+G33</f>
        <v>1.9050000002607703E-2</v>
      </c>
      <c r="O33">
        <f t="shared" ca="1" si="3"/>
        <v>1.6936554122388925E-2</v>
      </c>
      <c r="Q33" s="2">
        <f t="shared" si="4"/>
        <v>39811.837950000001</v>
      </c>
    </row>
    <row r="34" spans="1:17" x14ac:dyDescent="0.2">
      <c r="A34" s="39" t="s">
        <v>49</v>
      </c>
      <c r="B34" s="40" t="s">
        <v>40</v>
      </c>
      <c r="C34" s="39">
        <v>55590.309699999998</v>
      </c>
      <c r="D34" s="39">
        <v>2.8999999999999998E-3</v>
      </c>
      <c r="E34">
        <f t="shared" si="0"/>
        <v>34786.030983200217</v>
      </c>
      <c r="F34">
        <f t="shared" si="1"/>
        <v>34786</v>
      </c>
      <c r="G34">
        <f t="shared" si="2"/>
        <v>2.2499999999126885E-2</v>
      </c>
      <c r="I34">
        <f>+G34</f>
        <v>2.2499999999126885E-2</v>
      </c>
      <c r="O34">
        <f t="shared" ca="1" si="3"/>
        <v>1.8735439198070782E-2</v>
      </c>
      <c r="Q34" s="2">
        <f t="shared" si="4"/>
        <v>40571.809699999998</v>
      </c>
    </row>
    <row r="35" spans="1:17" x14ac:dyDescent="0.2">
      <c r="A35" s="39" t="s">
        <v>49</v>
      </c>
      <c r="B35" s="40" t="s">
        <v>40</v>
      </c>
      <c r="C35" s="39">
        <v>55624.4375</v>
      </c>
      <c r="D35" s="39">
        <v>6.9999999999999999E-4</v>
      </c>
      <c r="E35">
        <f t="shared" si="0"/>
        <v>34833.02602588819</v>
      </c>
      <c r="F35">
        <f t="shared" si="1"/>
        <v>34833</v>
      </c>
      <c r="G35">
        <f t="shared" si="2"/>
        <v>1.8900000002759043E-2</v>
      </c>
      <c r="I35">
        <f>+G35</f>
        <v>1.8900000002759043E-2</v>
      </c>
      <c r="O35">
        <f t="shared" ca="1" si="3"/>
        <v>1.8816230023256685E-2</v>
      </c>
      <c r="Q35" s="2">
        <f t="shared" si="4"/>
        <v>40605.9375</v>
      </c>
    </row>
    <row r="36" spans="1:17" x14ac:dyDescent="0.2">
      <c r="A36" s="36" t="s">
        <v>52</v>
      </c>
      <c r="B36" s="37" t="s">
        <v>40</v>
      </c>
      <c r="C36" s="38">
        <v>55878.6083</v>
      </c>
      <c r="D36" s="38">
        <v>1E-4</v>
      </c>
      <c r="E36">
        <f t="shared" si="0"/>
        <v>35183.027127513087</v>
      </c>
      <c r="F36">
        <f t="shared" si="1"/>
        <v>35183</v>
      </c>
      <c r="G36">
        <f t="shared" si="2"/>
        <v>1.9699999997101258E-2</v>
      </c>
      <c r="J36">
        <f>+G36</f>
        <v>1.9699999997101258E-2</v>
      </c>
      <c r="O36">
        <f t="shared" ca="1" si="3"/>
        <v>1.9417863827832553E-2</v>
      </c>
      <c r="Q36" s="2">
        <f t="shared" si="4"/>
        <v>40860.1083</v>
      </c>
    </row>
    <row r="37" spans="1:17" x14ac:dyDescent="0.2">
      <c r="A37" s="41" t="s">
        <v>51</v>
      </c>
      <c r="B37" s="42" t="s">
        <v>44</v>
      </c>
      <c r="C37" s="43">
        <v>56279.837</v>
      </c>
      <c r="D37" s="43">
        <v>3.0000000000000001E-3</v>
      </c>
      <c r="E37">
        <f t="shared" si="0"/>
        <v>35735.531534012669</v>
      </c>
      <c r="F37">
        <f t="shared" si="1"/>
        <v>35735.5</v>
      </c>
      <c r="G37">
        <f t="shared" si="2"/>
        <v>2.2899999996297993E-2</v>
      </c>
      <c r="I37">
        <f>+G37</f>
        <v>2.2899999996297993E-2</v>
      </c>
      <c r="O37">
        <f t="shared" ca="1" si="3"/>
        <v>2.0367585762198749E-2</v>
      </c>
      <c r="Q37" s="2">
        <f t="shared" si="4"/>
        <v>41261.337</v>
      </c>
    </row>
    <row r="38" spans="1:17" x14ac:dyDescent="0.2">
      <c r="A38" s="60" t="s">
        <v>135</v>
      </c>
      <c r="B38" s="61" t="s">
        <v>40</v>
      </c>
      <c r="C38" s="62">
        <v>58075.728199999998</v>
      </c>
      <c r="D38" s="60">
        <v>3.5000000000000001E-3</v>
      </c>
      <c r="E38">
        <f t="shared" ref="E38:E43" si="6">+(C38-C$7)/C$8</f>
        <v>38208.529606169097</v>
      </c>
      <c r="F38">
        <f t="shared" ref="F38:F43" si="7">ROUND(2*E38,0)/2</f>
        <v>38208.5</v>
      </c>
      <c r="G38">
        <f t="shared" ref="G38:G43" si="8">+C38-(C$7+F38*C$8)</f>
        <v>2.1500000002561137E-2</v>
      </c>
      <c r="L38">
        <f>+G38</f>
        <v>2.1500000002561137E-2</v>
      </c>
      <c r="O38">
        <f t="shared" ref="O38:O43" ca="1" si="9">+C$11+C$12*$F38</f>
        <v>2.4618558329959121E-2</v>
      </c>
      <c r="Q38" s="2">
        <f t="shared" ref="Q38:Q43" si="10">+C38-15018.5</f>
        <v>43057.228199999998</v>
      </c>
    </row>
    <row r="39" spans="1:17" x14ac:dyDescent="0.2">
      <c r="A39" s="60" t="s">
        <v>135</v>
      </c>
      <c r="B39" s="61" t="s">
        <v>40</v>
      </c>
      <c r="C39" s="62">
        <v>58110.587399999997</v>
      </c>
      <c r="D39" s="60">
        <v>3.5000000000000001E-3</v>
      </c>
      <c r="E39">
        <f t="shared" si="6"/>
        <v>38256.531809418891</v>
      </c>
      <c r="F39">
        <f t="shared" si="7"/>
        <v>38256.5</v>
      </c>
      <c r="G39">
        <f t="shared" si="8"/>
        <v>2.3099999998521525E-2</v>
      </c>
      <c r="L39">
        <f>+G39</f>
        <v>2.3099999998521525E-2</v>
      </c>
      <c r="O39">
        <f t="shared" ca="1" si="9"/>
        <v>2.4701068108872383E-2</v>
      </c>
      <c r="Q39" s="2">
        <f t="shared" si="10"/>
        <v>43092.087399999997</v>
      </c>
    </row>
    <row r="40" spans="1:17" x14ac:dyDescent="0.2">
      <c r="A40" s="60" t="s">
        <v>135</v>
      </c>
      <c r="B40" s="61" t="s">
        <v>40</v>
      </c>
      <c r="C40" s="62">
        <v>59642.508699999998</v>
      </c>
      <c r="D40" s="60">
        <v>4.1999999999999997E-3</v>
      </c>
      <c r="E40">
        <f t="shared" si="6"/>
        <v>40366.035114293583</v>
      </c>
      <c r="F40">
        <f t="shared" si="7"/>
        <v>40366</v>
      </c>
      <c r="G40">
        <f t="shared" si="8"/>
        <v>2.5499999996100087E-2</v>
      </c>
      <c r="L40">
        <f>+G40</f>
        <v>2.5499999996100087E-2</v>
      </c>
      <c r="O40">
        <f t="shared" ca="1" si="9"/>
        <v>2.8327200996737516E-2</v>
      </c>
      <c r="Q40" s="2">
        <f t="shared" si="10"/>
        <v>44624.008699999998</v>
      </c>
    </row>
    <row r="41" spans="1:17" x14ac:dyDescent="0.2">
      <c r="A41" s="60" t="s">
        <v>135</v>
      </c>
      <c r="B41" s="61" t="s">
        <v>40</v>
      </c>
      <c r="C41" s="62">
        <v>59648.317499999997</v>
      </c>
      <c r="D41" s="60">
        <v>3.5000000000000001E-3</v>
      </c>
      <c r="E41">
        <f t="shared" si="6"/>
        <v>40374.034012668686</v>
      </c>
      <c r="F41">
        <f t="shared" si="7"/>
        <v>40374</v>
      </c>
      <c r="G41">
        <f t="shared" si="8"/>
        <v>2.4700000001757871E-2</v>
      </c>
      <c r="L41">
        <f>+G41</f>
        <v>2.4700000001757871E-2</v>
      </c>
      <c r="O41">
        <f t="shared" ca="1" si="9"/>
        <v>2.83409526265564E-2</v>
      </c>
      <c r="Q41" s="2">
        <f t="shared" si="10"/>
        <v>44629.817499999997</v>
      </c>
    </row>
    <row r="42" spans="1:17" x14ac:dyDescent="0.2">
      <c r="A42" s="60" t="s">
        <v>135</v>
      </c>
      <c r="B42" s="61" t="s">
        <v>40</v>
      </c>
      <c r="C42" s="62">
        <v>59880.7016</v>
      </c>
      <c r="D42" s="60">
        <v>3.5000000000000001E-3</v>
      </c>
      <c r="E42">
        <f t="shared" si="6"/>
        <v>40694.034150371801</v>
      </c>
      <c r="F42">
        <f t="shared" si="7"/>
        <v>40694</v>
      </c>
      <c r="G42">
        <f t="shared" si="8"/>
        <v>2.4799999999231659E-2</v>
      </c>
      <c r="L42">
        <f>+G42</f>
        <v>2.4799999999231659E-2</v>
      </c>
      <c r="O42">
        <f t="shared" ca="1" si="9"/>
        <v>2.8891017819311478E-2</v>
      </c>
      <c r="Q42" s="2">
        <f t="shared" si="10"/>
        <v>44862.2016</v>
      </c>
    </row>
    <row r="43" spans="1:17" x14ac:dyDescent="0.2">
      <c r="A43" s="60" t="s">
        <v>135</v>
      </c>
      <c r="B43" s="61" t="s">
        <v>40</v>
      </c>
      <c r="C43" s="62">
        <v>59936.619100000004</v>
      </c>
      <c r="D43" s="60">
        <v>3.5000000000000001E-3</v>
      </c>
      <c r="E43">
        <f t="shared" si="6"/>
        <v>40771.034288074916</v>
      </c>
      <c r="F43">
        <f t="shared" si="7"/>
        <v>40771</v>
      </c>
      <c r="G43">
        <f t="shared" si="8"/>
        <v>2.4900000003981404E-2</v>
      </c>
      <c r="L43">
        <f>+G43</f>
        <v>2.4900000003981404E-2</v>
      </c>
      <c r="O43">
        <f t="shared" ca="1" si="9"/>
        <v>2.9023377256318171E-2</v>
      </c>
      <c r="Q43" s="2">
        <f t="shared" si="10"/>
        <v>44918.119100000004</v>
      </c>
    </row>
    <row r="44" spans="1:17" x14ac:dyDescent="0.2">
      <c r="C44" s="12"/>
      <c r="D44" s="12"/>
    </row>
    <row r="45" spans="1:17" x14ac:dyDescent="0.2">
      <c r="C45" s="12"/>
      <c r="D45" s="12"/>
    </row>
    <row r="46" spans="1:17" x14ac:dyDescent="0.2">
      <c r="C46" s="12"/>
      <c r="D46" s="12"/>
    </row>
    <row r="47" spans="1:17" x14ac:dyDescent="0.2">
      <c r="C47" s="12"/>
      <c r="D47" s="12"/>
    </row>
    <row r="48" spans="1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2"/>
  <sheetViews>
    <sheetView workbookViewId="0">
      <selection activeCell="A21" sqref="A21:D24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4" t="s">
        <v>53</v>
      </c>
      <c r="I1" s="45" t="s">
        <v>54</v>
      </c>
      <c r="J1" s="46" t="s">
        <v>55</v>
      </c>
    </row>
    <row r="2" spans="1:16" x14ac:dyDescent="0.2">
      <c r="I2" s="47" t="s">
        <v>56</v>
      </c>
      <c r="J2" s="48" t="s">
        <v>57</v>
      </c>
    </row>
    <row r="3" spans="1:16" x14ac:dyDescent="0.2">
      <c r="A3" s="49" t="s">
        <v>58</v>
      </c>
      <c r="I3" s="47" t="s">
        <v>59</v>
      </c>
      <c r="J3" s="48" t="s">
        <v>60</v>
      </c>
    </row>
    <row r="4" spans="1:16" x14ac:dyDescent="0.2">
      <c r="I4" s="47" t="s">
        <v>61</v>
      </c>
      <c r="J4" s="48" t="s">
        <v>60</v>
      </c>
    </row>
    <row r="5" spans="1:16" ht="13.5" thickBot="1" x14ac:dyDescent="0.25">
      <c r="I5" s="50" t="s">
        <v>62</v>
      </c>
      <c r="J5" s="51" t="s">
        <v>63</v>
      </c>
    </row>
    <row r="10" spans="1:16" ht="13.5" thickBot="1" x14ac:dyDescent="0.25"/>
    <row r="11" spans="1:16" ht="12.75" customHeight="1" thickBot="1" x14ac:dyDescent="0.25">
      <c r="A11" s="12" t="str">
        <f t="shared" ref="A11:A24" si="0">P11</f>
        <v>BAVM 172 </v>
      </c>
      <c r="B11" s="16" t="str">
        <f t="shared" ref="B11:B24" si="1">IF(H11=INT(H11),"I","II")</f>
        <v>II</v>
      </c>
      <c r="C11" s="12">
        <f t="shared" ref="C11:C24" si="2">1*G11</f>
        <v>52279.555</v>
      </c>
      <c r="D11" s="11" t="str">
        <f t="shared" ref="D11:D24" si="3">VLOOKUP(F11,I$1:J$5,2,FALSE)</f>
        <v>vis</v>
      </c>
      <c r="E11" s="52">
        <f>VLOOKUP(C11,Active!C$21:E$973,3,FALSE)</f>
        <v>30227.018727623246</v>
      </c>
      <c r="F11" s="16" t="s">
        <v>62</v>
      </c>
      <c r="G11" s="11" t="str">
        <f t="shared" ref="G11:G24" si="4">MID(I11,3,LEN(I11)-3)</f>
        <v>52279.5550</v>
      </c>
      <c r="H11" s="12">
        <f t="shared" ref="H11:H24" si="5">1*K11</f>
        <v>30226.5</v>
      </c>
      <c r="I11" s="53" t="s">
        <v>73</v>
      </c>
      <c r="J11" s="54" t="s">
        <v>74</v>
      </c>
      <c r="K11" s="53">
        <v>30226.5</v>
      </c>
      <c r="L11" s="53" t="s">
        <v>75</v>
      </c>
      <c r="M11" s="54" t="s">
        <v>76</v>
      </c>
      <c r="N11" s="54" t="s">
        <v>77</v>
      </c>
      <c r="O11" s="55" t="s">
        <v>78</v>
      </c>
      <c r="P11" s="56" t="s">
        <v>79</v>
      </c>
    </row>
    <row r="12" spans="1:16" ht="12.75" customHeight="1" thickBot="1" x14ac:dyDescent="0.25">
      <c r="A12" s="12" t="str">
        <f t="shared" si="0"/>
        <v>BAVM 178 </v>
      </c>
      <c r="B12" s="16" t="str">
        <f t="shared" si="1"/>
        <v>II</v>
      </c>
      <c r="C12" s="12">
        <f t="shared" si="2"/>
        <v>53759.554799999998</v>
      </c>
      <c r="D12" s="11" t="str">
        <f t="shared" si="3"/>
        <v>vis</v>
      </c>
      <c r="E12" s="52">
        <f>VLOOKUP(C12,Active!C$21:E$973,3,FALSE)</f>
        <v>32265.024511153952</v>
      </c>
      <c r="F12" s="16" t="s">
        <v>62</v>
      </c>
      <c r="G12" s="11" t="str">
        <f t="shared" si="4"/>
        <v>53759.5548</v>
      </c>
      <c r="H12" s="12">
        <f t="shared" si="5"/>
        <v>32264.5</v>
      </c>
      <c r="I12" s="53" t="s">
        <v>80</v>
      </c>
      <c r="J12" s="54" t="s">
        <v>81</v>
      </c>
      <c r="K12" s="53" t="s">
        <v>82</v>
      </c>
      <c r="L12" s="53" t="s">
        <v>83</v>
      </c>
      <c r="M12" s="54" t="s">
        <v>84</v>
      </c>
      <c r="N12" s="54" t="s">
        <v>77</v>
      </c>
      <c r="O12" s="55" t="s">
        <v>68</v>
      </c>
      <c r="P12" s="56" t="s">
        <v>85</v>
      </c>
    </row>
    <row r="13" spans="1:16" ht="12.75" customHeight="1" thickBot="1" x14ac:dyDescent="0.25">
      <c r="A13" s="12" t="str">
        <f t="shared" si="0"/>
        <v>BAVM 178 </v>
      </c>
      <c r="B13" s="16" t="str">
        <f t="shared" si="1"/>
        <v>II</v>
      </c>
      <c r="C13" s="12">
        <f t="shared" si="2"/>
        <v>53762.459499999997</v>
      </c>
      <c r="D13" s="11" t="str">
        <f t="shared" si="3"/>
        <v>vis</v>
      </c>
      <c r="E13" s="52">
        <f>VLOOKUP(C13,Active!C$21:E$973,3,FALSE)</f>
        <v>32269.02437345084</v>
      </c>
      <c r="F13" s="16" t="s">
        <v>62</v>
      </c>
      <c r="G13" s="11" t="str">
        <f t="shared" si="4"/>
        <v>53762.4595</v>
      </c>
      <c r="H13" s="12">
        <f t="shared" si="5"/>
        <v>32268.5</v>
      </c>
      <c r="I13" s="53" t="s">
        <v>86</v>
      </c>
      <c r="J13" s="54" t="s">
        <v>87</v>
      </c>
      <c r="K13" s="53" t="s">
        <v>88</v>
      </c>
      <c r="L13" s="53" t="s">
        <v>89</v>
      </c>
      <c r="M13" s="54" t="s">
        <v>84</v>
      </c>
      <c r="N13" s="54" t="s">
        <v>77</v>
      </c>
      <c r="O13" s="55" t="s">
        <v>68</v>
      </c>
      <c r="P13" s="56" t="s">
        <v>85</v>
      </c>
    </row>
    <row r="14" spans="1:16" ht="12.75" customHeight="1" thickBot="1" x14ac:dyDescent="0.25">
      <c r="A14" s="12" t="str">
        <f t="shared" si="0"/>
        <v>BAVM 183 </v>
      </c>
      <c r="B14" s="16" t="str">
        <f t="shared" si="1"/>
        <v>II</v>
      </c>
      <c r="C14" s="12">
        <f t="shared" si="2"/>
        <v>54096.508800000003</v>
      </c>
      <c r="D14" s="11" t="str">
        <f t="shared" si="3"/>
        <v>vis</v>
      </c>
      <c r="E14" s="52">
        <f>VLOOKUP(C14,Active!C$21:E$973,3,FALSE)</f>
        <v>32729.020655466822</v>
      </c>
      <c r="F14" s="16" t="s">
        <v>62</v>
      </c>
      <c r="G14" s="11" t="str">
        <f t="shared" si="4"/>
        <v>54096.5088</v>
      </c>
      <c r="H14" s="12">
        <f t="shared" si="5"/>
        <v>32728.5</v>
      </c>
      <c r="I14" s="53" t="s">
        <v>90</v>
      </c>
      <c r="J14" s="54" t="s">
        <v>91</v>
      </c>
      <c r="K14" s="53" t="s">
        <v>92</v>
      </c>
      <c r="L14" s="53" t="s">
        <v>93</v>
      </c>
      <c r="M14" s="54" t="s">
        <v>84</v>
      </c>
      <c r="N14" s="54" t="s">
        <v>77</v>
      </c>
      <c r="O14" s="55" t="s">
        <v>68</v>
      </c>
      <c r="P14" s="56" t="s">
        <v>94</v>
      </c>
    </row>
    <row r="15" spans="1:16" ht="12.75" customHeight="1" thickBot="1" x14ac:dyDescent="0.25">
      <c r="A15" s="12" t="str">
        <f t="shared" si="0"/>
        <v>BAVM 186 </v>
      </c>
      <c r="B15" s="16" t="str">
        <f t="shared" si="1"/>
        <v>II</v>
      </c>
      <c r="C15" s="12">
        <f t="shared" si="2"/>
        <v>54149.524599999997</v>
      </c>
      <c r="D15" s="11" t="str">
        <f t="shared" si="3"/>
        <v>vis</v>
      </c>
      <c r="E15" s="52">
        <f>VLOOKUP(C15,Active!C$21:E$973,3,FALSE)</f>
        <v>32802.0250619664</v>
      </c>
      <c r="F15" s="16" t="s">
        <v>62</v>
      </c>
      <c r="G15" s="11" t="str">
        <f t="shared" si="4"/>
        <v>54149.5246</v>
      </c>
      <c r="H15" s="12">
        <f t="shared" si="5"/>
        <v>32801.5</v>
      </c>
      <c r="I15" s="53" t="s">
        <v>95</v>
      </c>
      <c r="J15" s="54" t="s">
        <v>96</v>
      </c>
      <c r="K15" s="53" t="s">
        <v>97</v>
      </c>
      <c r="L15" s="53" t="s">
        <v>98</v>
      </c>
      <c r="M15" s="54" t="s">
        <v>84</v>
      </c>
      <c r="N15" s="54" t="s">
        <v>77</v>
      </c>
      <c r="O15" s="55" t="s">
        <v>68</v>
      </c>
      <c r="P15" s="56" t="s">
        <v>99</v>
      </c>
    </row>
    <row r="16" spans="1:16" ht="12.75" customHeight="1" thickBot="1" x14ac:dyDescent="0.25">
      <c r="A16" s="12" t="str">
        <f t="shared" si="0"/>
        <v>IBVS 5871 </v>
      </c>
      <c r="B16" s="16" t="str">
        <f t="shared" si="1"/>
        <v>I</v>
      </c>
      <c r="C16" s="12">
        <f t="shared" si="2"/>
        <v>54812.911699999997</v>
      </c>
      <c r="D16" s="11" t="str">
        <f t="shared" si="3"/>
        <v>vis</v>
      </c>
      <c r="E16" s="52">
        <f>VLOOKUP(C16,Active!C$21:E$973,3,FALSE)</f>
        <v>33715.529743872212</v>
      </c>
      <c r="F16" s="16" t="s">
        <v>62</v>
      </c>
      <c r="G16" s="11" t="str">
        <f t="shared" si="4"/>
        <v>54812.9117</v>
      </c>
      <c r="H16" s="12">
        <f t="shared" si="5"/>
        <v>33715</v>
      </c>
      <c r="I16" s="53" t="s">
        <v>100</v>
      </c>
      <c r="J16" s="54" t="s">
        <v>101</v>
      </c>
      <c r="K16" s="53" t="s">
        <v>102</v>
      </c>
      <c r="L16" s="53" t="s">
        <v>103</v>
      </c>
      <c r="M16" s="54" t="s">
        <v>84</v>
      </c>
      <c r="N16" s="54" t="s">
        <v>62</v>
      </c>
      <c r="O16" s="55" t="s">
        <v>104</v>
      </c>
      <c r="P16" s="56" t="s">
        <v>105</v>
      </c>
    </row>
    <row r="17" spans="1:16" ht="12.75" customHeight="1" thickBot="1" x14ac:dyDescent="0.25">
      <c r="A17" s="12" t="str">
        <f t="shared" si="0"/>
        <v>BAVM 220 </v>
      </c>
      <c r="B17" s="16" t="str">
        <f t="shared" si="1"/>
        <v>II</v>
      </c>
      <c r="C17" s="12">
        <f t="shared" si="2"/>
        <v>55590.309699999998</v>
      </c>
      <c r="D17" s="11" t="str">
        <f t="shared" si="3"/>
        <v>vis</v>
      </c>
      <c r="E17" s="52">
        <f>VLOOKUP(C17,Active!C$21:E$973,3,FALSE)</f>
        <v>34786.030983200217</v>
      </c>
      <c r="F17" s="16" t="s">
        <v>62</v>
      </c>
      <c r="G17" s="11" t="str">
        <f t="shared" si="4"/>
        <v>55590.3097</v>
      </c>
      <c r="H17" s="12">
        <f t="shared" si="5"/>
        <v>34785.5</v>
      </c>
      <c r="I17" s="53" t="s">
        <v>116</v>
      </c>
      <c r="J17" s="54" t="s">
        <v>117</v>
      </c>
      <c r="K17" s="53" t="s">
        <v>118</v>
      </c>
      <c r="L17" s="53" t="s">
        <v>119</v>
      </c>
      <c r="M17" s="54" t="s">
        <v>84</v>
      </c>
      <c r="N17" s="54" t="s">
        <v>77</v>
      </c>
      <c r="O17" s="55" t="s">
        <v>68</v>
      </c>
      <c r="P17" s="56" t="s">
        <v>120</v>
      </c>
    </row>
    <row r="18" spans="1:16" ht="12.75" customHeight="1" thickBot="1" x14ac:dyDescent="0.25">
      <c r="A18" s="12" t="str">
        <f t="shared" si="0"/>
        <v>BAVM 220 </v>
      </c>
      <c r="B18" s="16" t="str">
        <f t="shared" si="1"/>
        <v>II</v>
      </c>
      <c r="C18" s="12">
        <f t="shared" si="2"/>
        <v>55624.4375</v>
      </c>
      <c r="D18" s="11" t="str">
        <f t="shared" si="3"/>
        <v>vis</v>
      </c>
      <c r="E18" s="52">
        <f>VLOOKUP(C18,Active!C$21:E$973,3,FALSE)</f>
        <v>34833.02602588819</v>
      </c>
      <c r="F18" s="16" t="s">
        <v>62</v>
      </c>
      <c r="G18" s="11" t="str">
        <f t="shared" si="4"/>
        <v>55624.4375</v>
      </c>
      <c r="H18" s="12">
        <f t="shared" si="5"/>
        <v>34832.5</v>
      </c>
      <c r="I18" s="53" t="s">
        <v>121</v>
      </c>
      <c r="J18" s="54" t="s">
        <v>122</v>
      </c>
      <c r="K18" s="53" t="s">
        <v>123</v>
      </c>
      <c r="L18" s="53" t="s">
        <v>124</v>
      </c>
      <c r="M18" s="54" t="s">
        <v>84</v>
      </c>
      <c r="N18" s="54" t="s">
        <v>77</v>
      </c>
      <c r="O18" s="55" t="s">
        <v>68</v>
      </c>
      <c r="P18" s="56" t="s">
        <v>120</v>
      </c>
    </row>
    <row r="19" spans="1:16" ht="12.75" customHeight="1" thickBot="1" x14ac:dyDescent="0.25">
      <c r="A19" s="12" t="str">
        <f t="shared" si="0"/>
        <v>OEJV 0160 </v>
      </c>
      <c r="B19" s="16" t="str">
        <f t="shared" si="1"/>
        <v>II</v>
      </c>
      <c r="C19" s="12">
        <f t="shared" si="2"/>
        <v>55878.6083</v>
      </c>
      <c r="D19" s="11" t="str">
        <f t="shared" si="3"/>
        <v>vis</v>
      </c>
      <c r="E19" s="52">
        <f>VLOOKUP(C19,Active!C$21:E$973,3,FALSE)</f>
        <v>35183.027127513087</v>
      </c>
      <c r="F19" s="16" t="s">
        <v>62</v>
      </c>
      <c r="G19" s="11" t="str">
        <f t="shared" si="4"/>
        <v>55878.6083</v>
      </c>
      <c r="H19" s="12">
        <f t="shared" si="5"/>
        <v>35182.5</v>
      </c>
      <c r="I19" s="53" t="s">
        <v>125</v>
      </c>
      <c r="J19" s="54" t="s">
        <v>126</v>
      </c>
      <c r="K19" s="53" t="s">
        <v>127</v>
      </c>
      <c r="L19" s="53" t="s">
        <v>128</v>
      </c>
      <c r="M19" s="54" t="s">
        <v>84</v>
      </c>
      <c r="N19" s="54" t="s">
        <v>54</v>
      </c>
      <c r="O19" s="55" t="s">
        <v>110</v>
      </c>
      <c r="P19" s="56" t="s">
        <v>129</v>
      </c>
    </row>
    <row r="20" spans="1:16" ht="12.75" customHeight="1" thickBot="1" x14ac:dyDescent="0.25">
      <c r="A20" s="12" t="str">
        <f t="shared" si="0"/>
        <v>IBVS 6042 </v>
      </c>
      <c r="B20" s="16" t="str">
        <f t="shared" si="1"/>
        <v>I</v>
      </c>
      <c r="C20" s="12">
        <f t="shared" si="2"/>
        <v>56279.837</v>
      </c>
      <c r="D20" s="11" t="str">
        <f t="shared" si="3"/>
        <v>vis</v>
      </c>
      <c r="E20" s="52">
        <f>VLOOKUP(C20,Active!C$21:E$973,3,FALSE)</f>
        <v>35735.531534012669</v>
      </c>
      <c r="F20" s="16" t="s">
        <v>62</v>
      </c>
      <c r="G20" s="11" t="str">
        <f t="shared" si="4"/>
        <v>56279.837</v>
      </c>
      <c r="H20" s="12">
        <f t="shared" si="5"/>
        <v>35735</v>
      </c>
      <c r="I20" s="53" t="s">
        <v>130</v>
      </c>
      <c r="J20" s="54" t="s">
        <v>131</v>
      </c>
      <c r="K20" s="53" t="s">
        <v>132</v>
      </c>
      <c r="L20" s="53" t="s">
        <v>133</v>
      </c>
      <c r="M20" s="54" t="s">
        <v>84</v>
      </c>
      <c r="N20" s="54" t="s">
        <v>62</v>
      </c>
      <c r="O20" s="55" t="s">
        <v>104</v>
      </c>
      <c r="P20" s="56" t="s">
        <v>134</v>
      </c>
    </row>
    <row r="21" spans="1:16" ht="12.75" customHeight="1" thickBot="1" x14ac:dyDescent="0.25">
      <c r="A21" s="12" t="str">
        <f t="shared" si="0"/>
        <v>BAVM 179 </v>
      </c>
      <c r="B21" s="16" t="str">
        <f t="shared" si="1"/>
        <v>I</v>
      </c>
      <c r="C21" s="12">
        <f t="shared" si="2"/>
        <v>47826.462</v>
      </c>
      <c r="D21" s="11" t="str">
        <f t="shared" si="3"/>
        <v>vis</v>
      </c>
      <c r="E21" s="52">
        <f>VLOOKUP(C21,Active!C$21:E$973,3,FALSE)</f>
        <v>24094.971082346463</v>
      </c>
      <c r="F21" s="16" t="s">
        <v>62</v>
      </c>
      <c r="G21" s="11" t="str">
        <f t="shared" si="4"/>
        <v>47826.462</v>
      </c>
      <c r="H21" s="12">
        <f t="shared" si="5"/>
        <v>24095</v>
      </c>
      <c r="I21" s="53" t="s">
        <v>65</v>
      </c>
      <c r="J21" s="54" t="s">
        <v>66</v>
      </c>
      <c r="K21" s="53">
        <v>24095</v>
      </c>
      <c r="L21" s="53" t="s">
        <v>67</v>
      </c>
      <c r="M21" s="54" t="s">
        <v>64</v>
      </c>
      <c r="N21" s="54"/>
      <c r="O21" s="55" t="s">
        <v>68</v>
      </c>
      <c r="P21" s="56" t="s">
        <v>69</v>
      </c>
    </row>
    <row r="22" spans="1:16" ht="12.75" customHeight="1" thickBot="1" x14ac:dyDescent="0.25">
      <c r="A22" s="12" t="str">
        <f t="shared" si="0"/>
        <v>BAVM 179 </v>
      </c>
      <c r="B22" s="16" t="str">
        <f t="shared" si="1"/>
        <v>I</v>
      </c>
      <c r="C22" s="12">
        <f t="shared" si="2"/>
        <v>48275.284</v>
      </c>
      <c r="D22" s="11" t="str">
        <f t="shared" si="3"/>
        <v>vis</v>
      </c>
      <c r="E22" s="52">
        <f>VLOOKUP(C22,Active!C$21:E$973,3,FALSE)</f>
        <v>24713.012944092538</v>
      </c>
      <c r="F22" s="16" t="s">
        <v>62</v>
      </c>
      <c r="G22" s="11" t="str">
        <f t="shared" si="4"/>
        <v>48275.284</v>
      </c>
      <c r="H22" s="12">
        <f t="shared" si="5"/>
        <v>24713</v>
      </c>
      <c r="I22" s="53" t="s">
        <v>70</v>
      </c>
      <c r="J22" s="54" t="s">
        <v>71</v>
      </c>
      <c r="K22" s="53">
        <v>24713</v>
      </c>
      <c r="L22" s="53" t="s">
        <v>72</v>
      </c>
      <c r="M22" s="54" t="s">
        <v>64</v>
      </c>
      <c r="N22" s="54"/>
      <c r="O22" s="55" t="s">
        <v>68</v>
      </c>
      <c r="P22" s="56" t="s">
        <v>69</v>
      </c>
    </row>
    <row r="23" spans="1:16" ht="12.75" customHeight="1" thickBot="1" x14ac:dyDescent="0.25">
      <c r="A23" s="12" t="str">
        <f t="shared" si="0"/>
        <v>OEJV 0107 </v>
      </c>
      <c r="B23" s="16" t="str">
        <f t="shared" si="1"/>
        <v>I</v>
      </c>
      <c r="C23" s="12">
        <f t="shared" si="2"/>
        <v>54829.612200000003</v>
      </c>
      <c r="D23" s="11" t="str">
        <f t="shared" si="3"/>
        <v>vis</v>
      </c>
      <c r="E23" s="52">
        <f>VLOOKUP(C23,Active!C$21:E$973,3,FALSE)</f>
        <v>33738.526852106865</v>
      </c>
      <c r="F23" s="16" t="s">
        <v>62</v>
      </c>
      <c r="G23" s="11" t="str">
        <f t="shared" si="4"/>
        <v>54829.6122</v>
      </c>
      <c r="H23" s="12">
        <f t="shared" si="5"/>
        <v>33738</v>
      </c>
      <c r="I23" s="53" t="s">
        <v>106</v>
      </c>
      <c r="J23" s="54" t="s">
        <v>107</v>
      </c>
      <c r="K23" s="53" t="s">
        <v>108</v>
      </c>
      <c r="L23" s="53" t="s">
        <v>109</v>
      </c>
      <c r="M23" s="54" t="s">
        <v>84</v>
      </c>
      <c r="N23" s="54" t="s">
        <v>54</v>
      </c>
      <c r="O23" s="55" t="s">
        <v>110</v>
      </c>
      <c r="P23" s="56" t="s">
        <v>111</v>
      </c>
    </row>
    <row r="24" spans="1:16" ht="12.75" customHeight="1" thickBot="1" x14ac:dyDescent="0.25">
      <c r="A24" s="12" t="str">
        <f t="shared" si="0"/>
        <v>OEJV 0107 </v>
      </c>
      <c r="B24" s="16" t="str">
        <f t="shared" si="1"/>
        <v>I</v>
      </c>
      <c r="C24" s="12">
        <f t="shared" si="2"/>
        <v>54830.337899999999</v>
      </c>
      <c r="D24" s="11" t="str">
        <f t="shared" si="3"/>
        <v>vis</v>
      </c>
      <c r="E24" s="52">
        <f>VLOOKUP(C24,Active!C$21:E$973,3,FALSE)</f>
        <v>33739.526163591298</v>
      </c>
      <c r="F24" s="16" t="s">
        <v>62</v>
      </c>
      <c r="G24" s="11" t="str">
        <f t="shared" si="4"/>
        <v>54830.3379</v>
      </c>
      <c r="H24" s="12">
        <f t="shared" si="5"/>
        <v>33739</v>
      </c>
      <c r="I24" s="53" t="s">
        <v>112</v>
      </c>
      <c r="J24" s="54" t="s">
        <v>113</v>
      </c>
      <c r="K24" s="53" t="s">
        <v>114</v>
      </c>
      <c r="L24" s="53" t="s">
        <v>115</v>
      </c>
      <c r="M24" s="54" t="s">
        <v>84</v>
      </c>
      <c r="N24" s="54" t="s">
        <v>54</v>
      </c>
      <c r="O24" s="55" t="s">
        <v>110</v>
      </c>
      <c r="P24" s="56" t="s">
        <v>111</v>
      </c>
    </row>
    <row r="25" spans="1:16" x14ac:dyDescent="0.2">
      <c r="B25" s="16"/>
      <c r="E25" s="52"/>
      <c r="F25" s="16"/>
    </row>
    <row r="26" spans="1:16" x14ac:dyDescent="0.2">
      <c r="B26" s="16"/>
      <c r="E26" s="52"/>
      <c r="F26" s="16"/>
    </row>
    <row r="27" spans="1:16" x14ac:dyDescent="0.2">
      <c r="B27" s="16"/>
      <c r="E27" s="52"/>
      <c r="F27" s="16"/>
    </row>
    <row r="28" spans="1:16" x14ac:dyDescent="0.2">
      <c r="B28" s="16"/>
      <c r="E28" s="52"/>
      <c r="F28" s="16"/>
    </row>
    <row r="29" spans="1:16" x14ac:dyDescent="0.2">
      <c r="B29" s="16"/>
      <c r="E29" s="52"/>
      <c r="F29" s="16"/>
    </row>
    <row r="30" spans="1:16" x14ac:dyDescent="0.2">
      <c r="B30" s="16"/>
      <c r="E30" s="52"/>
      <c r="F30" s="16"/>
    </row>
    <row r="31" spans="1:16" x14ac:dyDescent="0.2">
      <c r="B31" s="16"/>
      <c r="E31" s="52"/>
      <c r="F31" s="16"/>
    </row>
    <row r="32" spans="1:16" x14ac:dyDescent="0.2">
      <c r="B32" s="16"/>
      <c r="E32" s="52"/>
      <c r="F32" s="16"/>
    </row>
    <row r="33" spans="2:6" x14ac:dyDescent="0.2">
      <c r="B33" s="16"/>
      <c r="E33" s="52"/>
      <c r="F33" s="16"/>
    </row>
    <row r="34" spans="2:6" x14ac:dyDescent="0.2">
      <c r="B34" s="16"/>
      <c r="E34" s="52"/>
      <c r="F34" s="16"/>
    </row>
    <row r="35" spans="2:6" x14ac:dyDescent="0.2">
      <c r="B35" s="16"/>
      <c r="E35" s="52"/>
      <c r="F35" s="16"/>
    </row>
    <row r="36" spans="2:6" x14ac:dyDescent="0.2">
      <c r="B36" s="16"/>
      <c r="E36" s="52"/>
      <c r="F36" s="16"/>
    </row>
    <row r="37" spans="2:6" x14ac:dyDescent="0.2">
      <c r="B37" s="16"/>
      <c r="E37" s="52"/>
      <c r="F37" s="16"/>
    </row>
    <row r="38" spans="2:6" x14ac:dyDescent="0.2">
      <c r="B38" s="16"/>
      <c r="E38" s="52"/>
      <c r="F38" s="16"/>
    </row>
    <row r="39" spans="2:6" x14ac:dyDescent="0.2">
      <c r="B39" s="16"/>
      <c r="E39" s="52"/>
      <c r="F39" s="16"/>
    </row>
    <row r="40" spans="2:6" x14ac:dyDescent="0.2">
      <c r="B40" s="16"/>
      <c r="E40" s="52"/>
      <c r="F40" s="16"/>
    </row>
    <row r="41" spans="2:6" x14ac:dyDescent="0.2">
      <c r="B41" s="16"/>
      <c r="E41" s="52"/>
      <c r="F41" s="16"/>
    </row>
    <row r="42" spans="2:6" x14ac:dyDescent="0.2">
      <c r="B42" s="16"/>
      <c r="E42" s="52"/>
      <c r="F42" s="16"/>
    </row>
    <row r="43" spans="2:6" x14ac:dyDescent="0.2">
      <c r="B43" s="16"/>
      <c r="E43" s="52"/>
      <c r="F43" s="16"/>
    </row>
    <row r="44" spans="2:6" x14ac:dyDescent="0.2">
      <c r="B44" s="16"/>
      <c r="E44" s="52"/>
      <c r="F44" s="16"/>
    </row>
    <row r="45" spans="2:6" x14ac:dyDescent="0.2">
      <c r="B45" s="16"/>
      <c r="E45" s="52"/>
      <c r="F45" s="16"/>
    </row>
    <row r="46" spans="2:6" x14ac:dyDescent="0.2">
      <c r="B46" s="16"/>
      <c r="E46" s="52"/>
      <c r="F46" s="16"/>
    </row>
    <row r="47" spans="2:6" x14ac:dyDescent="0.2">
      <c r="B47" s="16"/>
      <c r="E47" s="52"/>
      <c r="F47" s="16"/>
    </row>
    <row r="48" spans="2:6" x14ac:dyDescent="0.2">
      <c r="B48" s="16"/>
      <c r="E48" s="52"/>
      <c r="F48" s="16"/>
    </row>
    <row r="49" spans="2:6" x14ac:dyDescent="0.2">
      <c r="B49" s="16"/>
      <c r="E49" s="52"/>
      <c r="F49" s="16"/>
    </row>
    <row r="50" spans="2:6" x14ac:dyDescent="0.2">
      <c r="B50" s="16"/>
      <c r="E50" s="52"/>
      <c r="F50" s="16"/>
    </row>
    <row r="51" spans="2:6" x14ac:dyDescent="0.2">
      <c r="B51" s="16"/>
      <c r="E51" s="52"/>
      <c r="F51" s="16"/>
    </row>
    <row r="52" spans="2:6" x14ac:dyDescent="0.2">
      <c r="B52" s="16"/>
      <c r="E52" s="52"/>
      <c r="F52" s="16"/>
    </row>
    <row r="53" spans="2:6" x14ac:dyDescent="0.2">
      <c r="B53" s="16"/>
      <c r="E53" s="52"/>
      <c r="F53" s="16"/>
    </row>
    <row r="54" spans="2:6" x14ac:dyDescent="0.2">
      <c r="B54" s="16"/>
      <c r="E54" s="52"/>
      <c r="F54" s="16"/>
    </row>
    <row r="55" spans="2:6" x14ac:dyDescent="0.2">
      <c r="B55" s="16"/>
      <c r="F55" s="16"/>
    </row>
    <row r="56" spans="2:6" x14ac:dyDescent="0.2">
      <c r="B56" s="16"/>
      <c r="F56" s="16"/>
    </row>
    <row r="57" spans="2:6" x14ac:dyDescent="0.2">
      <c r="B57" s="16"/>
      <c r="F57" s="16"/>
    </row>
    <row r="58" spans="2:6" x14ac:dyDescent="0.2">
      <c r="B58" s="16"/>
      <c r="F58" s="16"/>
    </row>
    <row r="59" spans="2:6" x14ac:dyDescent="0.2">
      <c r="B59" s="16"/>
      <c r="F59" s="16"/>
    </row>
    <row r="60" spans="2:6" x14ac:dyDescent="0.2">
      <c r="B60" s="16"/>
      <c r="F60" s="16"/>
    </row>
    <row r="61" spans="2:6" x14ac:dyDescent="0.2">
      <c r="B61" s="16"/>
      <c r="F61" s="16"/>
    </row>
    <row r="62" spans="2:6" x14ac:dyDescent="0.2">
      <c r="B62" s="16"/>
      <c r="F62" s="16"/>
    </row>
    <row r="63" spans="2:6" x14ac:dyDescent="0.2">
      <c r="B63" s="16"/>
      <c r="F63" s="16"/>
    </row>
    <row r="64" spans="2:6" x14ac:dyDescent="0.2">
      <c r="B64" s="16"/>
      <c r="F64" s="16"/>
    </row>
    <row r="65" spans="2:6" x14ac:dyDescent="0.2">
      <c r="B65" s="16"/>
      <c r="F65" s="16"/>
    </row>
    <row r="66" spans="2:6" x14ac:dyDescent="0.2">
      <c r="B66" s="16"/>
      <c r="F66" s="16"/>
    </row>
    <row r="67" spans="2:6" x14ac:dyDescent="0.2">
      <c r="B67" s="16"/>
      <c r="F67" s="16"/>
    </row>
    <row r="68" spans="2:6" x14ac:dyDescent="0.2">
      <c r="B68" s="16"/>
      <c r="F68" s="16"/>
    </row>
    <row r="69" spans="2:6" x14ac:dyDescent="0.2">
      <c r="B69" s="16"/>
      <c r="F69" s="16"/>
    </row>
    <row r="70" spans="2:6" x14ac:dyDescent="0.2">
      <c r="B70" s="16"/>
      <c r="F70" s="16"/>
    </row>
    <row r="71" spans="2:6" x14ac:dyDescent="0.2">
      <c r="B71" s="16"/>
      <c r="F71" s="16"/>
    </row>
    <row r="72" spans="2:6" x14ac:dyDescent="0.2">
      <c r="B72" s="16"/>
      <c r="F72" s="16"/>
    </row>
    <row r="73" spans="2:6" x14ac:dyDescent="0.2">
      <c r="B73" s="16"/>
      <c r="F73" s="16"/>
    </row>
    <row r="74" spans="2:6" x14ac:dyDescent="0.2">
      <c r="B74" s="16"/>
      <c r="F74" s="16"/>
    </row>
    <row r="75" spans="2:6" x14ac:dyDescent="0.2">
      <c r="B75" s="16"/>
      <c r="F75" s="16"/>
    </row>
    <row r="76" spans="2:6" x14ac:dyDescent="0.2">
      <c r="B76" s="16"/>
      <c r="F76" s="16"/>
    </row>
    <row r="77" spans="2:6" x14ac:dyDescent="0.2">
      <c r="B77" s="16"/>
      <c r="F77" s="16"/>
    </row>
    <row r="78" spans="2:6" x14ac:dyDescent="0.2">
      <c r="B78" s="16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</sheetData>
  <phoneticPr fontId="7" type="noConversion"/>
  <hyperlinks>
    <hyperlink ref="P21" r:id="rId1" display="http://www.bav-astro.de/sfs/BAVM_link.php?BAVMnr=179"/>
    <hyperlink ref="P22" r:id="rId2" display="http://www.bav-astro.de/sfs/BAVM_link.php?BAVMnr=179"/>
    <hyperlink ref="P11" r:id="rId3" display="http://www.bav-astro.de/sfs/BAVM_link.php?BAVMnr=172"/>
    <hyperlink ref="P12" r:id="rId4" display="http://www.bav-astro.de/sfs/BAVM_link.php?BAVMnr=178"/>
    <hyperlink ref="P13" r:id="rId5" display="http://www.bav-astro.de/sfs/BAVM_link.php?BAVMnr=178"/>
    <hyperlink ref="P14" r:id="rId6" display="http://www.bav-astro.de/sfs/BAVM_link.php?BAVMnr=183"/>
    <hyperlink ref="P15" r:id="rId7" display="http://www.bav-astro.de/sfs/BAVM_link.php?BAVMnr=186"/>
    <hyperlink ref="P16" r:id="rId8" display="http://www.konkoly.hu/cgi-bin/IBVS?5871"/>
    <hyperlink ref="P23" r:id="rId9" display="http://var.astro.cz/oejv/issues/oejv0107.pdf"/>
    <hyperlink ref="P24" r:id="rId10" display="http://var.astro.cz/oejv/issues/oejv0107.pdf"/>
    <hyperlink ref="P17" r:id="rId11" display="http://www.bav-astro.de/sfs/BAVM_link.php?BAVMnr=220"/>
    <hyperlink ref="P18" r:id="rId12" display="http://www.bav-astro.de/sfs/BAVM_link.php?BAVMnr=220"/>
    <hyperlink ref="P19" r:id="rId13" display="http://var.astro.cz/oejv/issues/oejv0160.pdf"/>
    <hyperlink ref="P20" r:id="rId14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2023-08-15T01:39:45Z</dcterms:modified>
</cp:coreProperties>
</file>