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F4CC96A-EC01-4EA4-A26F-2A45100DE0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7" i="1" l="1"/>
  <c r="F57" i="1"/>
  <c r="G57" i="1" s="1"/>
  <c r="K57" i="1" s="1"/>
  <c r="Q57" i="1"/>
  <c r="E56" i="1"/>
  <c r="F56" i="1"/>
  <c r="G56" i="1"/>
  <c r="K56" i="1"/>
  <c r="Q56" i="1"/>
  <c r="E55" i="1"/>
  <c r="F55" i="1"/>
  <c r="G55" i="1"/>
  <c r="K55" i="1"/>
  <c r="Q55" i="1"/>
  <c r="E50" i="1"/>
  <c r="F50" i="1"/>
  <c r="G50" i="1"/>
  <c r="K50" i="1"/>
  <c r="Q50" i="1"/>
  <c r="E51" i="1"/>
  <c r="F51" i="1"/>
  <c r="G51" i="1"/>
  <c r="K51" i="1"/>
  <c r="Q51" i="1"/>
  <c r="E52" i="1"/>
  <c r="F52" i="1"/>
  <c r="G52" i="1"/>
  <c r="K52" i="1"/>
  <c r="Q52" i="1"/>
  <c r="E53" i="1"/>
  <c r="F53" i="1"/>
  <c r="G53" i="1"/>
  <c r="K53" i="1"/>
  <c r="Q53" i="1"/>
  <c r="E54" i="1"/>
  <c r="F54" i="1"/>
  <c r="G54" i="1"/>
  <c r="K54" i="1"/>
  <c r="D9" i="1"/>
  <c r="C9" i="1"/>
  <c r="Q54" i="1"/>
  <c r="C21" i="1"/>
  <c r="E21" i="1"/>
  <c r="F21" i="1"/>
  <c r="G21" i="1"/>
  <c r="K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U25" i="1"/>
  <c r="E26" i="1"/>
  <c r="F26" i="1"/>
  <c r="G26" i="1"/>
  <c r="K26" i="1"/>
  <c r="E27" i="1"/>
  <c r="F27" i="1"/>
  <c r="U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49" i="1"/>
  <c r="F49" i="1"/>
  <c r="G49" i="1"/>
  <c r="K49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Q49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G14" i="2"/>
  <c r="C14" i="2"/>
  <c r="E14" i="2"/>
  <c r="G13" i="2"/>
  <c r="C13" i="2"/>
  <c r="E13" i="2"/>
  <c r="G12" i="2"/>
  <c r="C12" i="2"/>
  <c r="E12" i="2"/>
  <c r="G11" i="2"/>
  <c r="C11" i="2"/>
  <c r="E11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23" i="1"/>
  <c r="Q28" i="1"/>
  <c r="Q29" i="1"/>
  <c r="Q30" i="1"/>
  <c r="Q31" i="1"/>
  <c r="Q27" i="1"/>
  <c r="Q32" i="1"/>
  <c r="Q33" i="1"/>
  <c r="Q34" i="1"/>
  <c r="Q26" i="1"/>
  <c r="Q22" i="1"/>
  <c r="Q24" i="1"/>
  <c r="Q25" i="1"/>
  <c r="A21" i="1"/>
  <c r="F16" i="1"/>
  <c r="F17" i="1" s="1"/>
  <c r="C17" i="1"/>
  <c r="Q21" i="1"/>
  <c r="C11" i="1"/>
  <c r="C12" i="1"/>
  <c r="O57" i="1" l="1"/>
  <c r="O36" i="1"/>
  <c r="O26" i="1"/>
  <c r="O46" i="1"/>
  <c r="O25" i="1"/>
  <c r="O27" i="1"/>
  <c r="O44" i="1"/>
  <c r="O21" i="1"/>
  <c r="O32" i="1"/>
  <c r="O40" i="1"/>
  <c r="O43" i="1"/>
  <c r="O23" i="1"/>
  <c r="O31" i="1"/>
  <c r="O28" i="1"/>
  <c r="O53" i="1"/>
  <c r="O38" i="1"/>
  <c r="O49" i="1"/>
  <c r="O42" i="1"/>
  <c r="O29" i="1"/>
  <c r="O54" i="1"/>
  <c r="O34" i="1"/>
  <c r="O51" i="1"/>
  <c r="O56" i="1"/>
  <c r="O55" i="1"/>
  <c r="O48" i="1"/>
  <c r="O35" i="1"/>
  <c r="O30" i="1"/>
  <c r="O37" i="1"/>
  <c r="O47" i="1"/>
  <c r="C15" i="1"/>
  <c r="F18" i="1" s="1"/>
  <c r="O52" i="1"/>
  <c r="O22" i="1"/>
  <c r="O33" i="1"/>
  <c r="O24" i="1"/>
  <c r="O45" i="1"/>
  <c r="O41" i="1"/>
  <c r="O39" i="1"/>
  <c r="O50" i="1"/>
  <c r="C16" i="1"/>
  <c r="D18" i="1" s="1"/>
  <c r="F19" i="1" l="1"/>
  <c r="C18" i="1"/>
</calcChain>
</file>

<file path=xl/sharedStrings.xml><?xml version="1.0" encoding="utf-8"?>
<sst xmlns="http://schemas.openxmlformats.org/spreadsheetml/2006/main" count="162" uniqueCount="89">
  <si>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</si>
  <si>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</si>
  <si>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</si>
  <si>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</si>
  <si>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</si>
  <si>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</si>
  <si>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</si>
  <si>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</si>
  <si>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</si>
  <si>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</si>
  <si>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</si>
  <si>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</si>
  <si>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</si>
  <si>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</si>
  <si>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</si>
  <si>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</si>
  <si>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</si>
  <si>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</si>
  <si>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</si>
  <si>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</si>
  <si>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</si>
  <si>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</si>
  <si>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</si>
  <si>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</si>
  <si>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</si>
  <si>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</si>
  <si>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</si>
  <si>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</si>
  <si>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</si>
  <si>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</si>
  <si>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</si>
  <si>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</si>
  <si>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</si>
  <si>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</si>
  <si>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</si>
  <si>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</si>
  <si>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</si>
  <si>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</si>
  <si>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</si>
  <si>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V0405 Gem</t>
  </si>
  <si>
    <t>V0405 Gem / GSC 1330-0293</t>
  </si>
  <si>
    <t>EW</t>
  </si>
  <si>
    <t>BRNO</t>
  </si>
  <si>
    <t>IBVS 6048</t>
  </si>
  <si>
    <t>I</t>
  </si>
  <si>
    <t>IBVS 6070</t>
  </si>
  <si>
    <t>IBVS 6131</t>
  </si>
  <si>
    <t>OEJV 0168</t>
  </si>
  <si>
    <t>II</t>
  </si>
  <si>
    <t>G1330-0293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</si>
  <si>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</si>
  <si>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</si>
  <si>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</si>
  <si>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</si>
  <si>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</si>
  <si>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</si>
  <si>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</si>
  <si>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</si>
  <si>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</si>
  <si>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</si>
  <si>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</si>
  <si>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</si>
  <si>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2454910.3597 </t>
  </si>
  <si>
    <t> 19.03.2009 20:37 </t>
  </si>
  <si>
    <t> -0.0021 </t>
  </si>
  <si>
    <t>C </t>
  </si>
  <si>
    <t>o</t>
  </si>
  <si>
    <t> H.Achterberg </t>
  </si>
  <si>
    <t>BAVM 228 </t>
  </si>
  <si>
    <t>2456001.3938 </t>
  </si>
  <si>
    <t> 14.03.2012 21:27 </t>
  </si>
  <si>
    <t> -0.0131 </t>
  </si>
  <si>
    <t>Ic</t>
  </si>
  <si>
    <t> W.Quester </t>
  </si>
  <si>
    <t>BAVM 231 </t>
  </si>
  <si>
    <t>2456002.3288 </t>
  </si>
  <si>
    <t> 15.03.2012 19:53 </t>
  </si>
  <si>
    <t> -0.0023 </t>
  </si>
  <si>
    <t>2456693.6365 </t>
  </si>
  <si>
    <t> 05.02.2014 03:16 </t>
  </si>
  <si>
    <t> -0.0132 </t>
  </si>
  <si>
    <t> R.Nelson </t>
  </si>
  <si>
    <t>IBVS 6131 </t>
  </si>
  <si>
    <t>OEJV 0179</t>
  </si>
  <si>
    <t>RHN 2020</t>
  </si>
  <si>
    <t>OEJV 0211</t>
  </si>
  <si>
    <t>RHN 2022</t>
  </si>
  <si>
    <t>JAVSO 49, 256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</si>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</sst>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4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1" fillId="24" borderId="17" xfId="38" applyFill="1" applyBorder="1" applyAlignment="1" applyProtection="1">
      <alignment horizontal="right" vertical="top" wrapText="1"/>
    </xf>
    <xf numFmtId="0" fontId="3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37" fillId="0" borderId="0" xfId="43" applyFont="1" applyAlignment="1">
      <alignment vertical="center"/>
    </xf>
    <xf numFmtId="0" fontId="37" fillId="0" borderId="0" xfId="43" applyFont="1" applyAlignment="1">
      <alignment horizontal="center" vertical="center"/>
    </xf>
    <xf numFmtId="0" fontId="37" fillId="0" borderId="0" xfId="43" applyFont="1" applyAlignment="1">
      <alignment horizontal="left" vertical="center"/>
    </xf>
    <xf numFmtId="0" fontId="37" fillId="0" borderId="0" xfId="42" applyFont="1" applyAlignment="1">
      <alignment vertical="center" wrapText="1"/>
    </xf>
    <xf numFmtId="0" fontId="37" fillId="0" borderId="0" xfId="42" applyFont="1" applyAlignment="1">
      <alignment horizontal="center" vertical="center" wrapText="1"/>
    </xf>
    <xf numFmtId="0" fontId="37" fillId="0" borderId="0" xfId="42" applyFont="1" applyAlignment="1">
      <alignment horizontal="left" vertical="center" wrapText="1"/>
    </xf>
    <xf numFmtId="0" fontId="37" fillId="0" borderId="0" xfId="42" applyFont="1" applyAlignment="1">
      <alignment vertical="center"/>
    </xf>
    <xf numFmtId="0" fontId="37" fillId="0" borderId="0" xfId="42" applyFont="1" applyAlignment="1">
      <alignment horizontal="center" vertical="center"/>
    </xf>
    <xf numFmtId="0" fontId="37" fillId="0" borderId="0" xfId="42" applyFont="1" applyAlignment="1">
      <alignment horizontal="left" vertical="center"/>
    </xf>
    <xf numFmtId="0" fontId="16" fillId="0" borderId="0" xfId="43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165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Gem - O-C Diagr.</a:t>
            </a:r>
          </a:p>
        </c:rich>
      </c:tx>
      <c:layout>
        <c:manualLayout>
          <c:xMode val="edge"/>
          <c:yMode val="edge"/>
          <c:x val="0.36827991237937363"/>
          <c:y val="4.14213135638746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7593984962405"/>
          <c:y val="0.16081917266074064"/>
          <c:w val="0.80451127819548873"/>
          <c:h val="0.500001427727030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DA-4EB0-8DFF-7D6E90110E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DA-4EB0-8DFF-7D6E90110E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-2.1582400004263036E-3</c:v>
                </c:pt>
                <c:pt idx="2">
                  <c:v>-8.7715599947841838E-3</c:v>
                </c:pt>
                <c:pt idx="3">
                  <c:v>-1.3120859999617096E-2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DA-4EB0-8DFF-7D6E90110E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5">
                  <c:v>-1.3328019995242357E-2</c:v>
                </c:pt>
                <c:pt idx="7">
                  <c:v>-1.6757839999627322E-2</c:v>
                </c:pt>
                <c:pt idx="8">
                  <c:v>-1.3557840000430588E-2</c:v>
                </c:pt>
                <c:pt idx="9">
                  <c:v>-1.9256299994594883E-2</c:v>
                </c:pt>
                <c:pt idx="10">
                  <c:v>-1.8116299994289875E-2</c:v>
                </c:pt>
                <c:pt idx="11">
                  <c:v>-2.0108599994273391E-2</c:v>
                </c:pt>
                <c:pt idx="12">
                  <c:v>-1.5128599996387493E-2</c:v>
                </c:pt>
                <c:pt idx="13">
                  <c:v>-1.468860000022687E-2</c:v>
                </c:pt>
                <c:pt idx="14">
                  <c:v>-2.1669249996193685E-2</c:v>
                </c:pt>
                <c:pt idx="15">
                  <c:v>-1.4589250000426546E-2</c:v>
                </c:pt>
                <c:pt idx="16">
                  <c:v>-2.3442089994205162E-2</c:v>
                </c:pt>
                <c:pt idx="17">
                  <c:v>-1.9572089993744157E-2</c:v>
                </c:pt>
                <c:pt idx="18">
                  <c:v>-1.7614780001167674E-2</c:v>
                </c:pt>
                <c:pt idx="19">
                  <c:v>-1.5814780002983753E-2</c:v>
                </c:pt>
                <c:pt idx="20">
                  <c:v>-2.1787619996757712E-2</c:v>
                </c:pt>
                <c:pt idx="21">
                  <c:v>-1.7707619997963775E-2</c:v>
                </c:pt>
                <c:pt idx="22">
                  <c:v>-1.8109009994077496E-2</c:v>
                </c:pt>
                <c:pt idx="23">
                  <c:v>-1.3179009998566471E-2</c:v>
                </c:pt>
                <c:pt idx="24">
                  <c:v>-2.0483239997702185E-2</c:v>
                </c:pt>
                <c:pt idx="25">
                  <c:v>-1.7033240001183003E-2</c:v>
                </c:pt>
                <c:pt idx="26">
                  <c:v>-2.0626079996873159E-2</c:v>
                </c:pt>
                <c:pt idx="27">
                  <c:v>-2.0196079996821936E-2</c:v>
                </c:pt>
                <c:pt idx="28">
                  <c:v>-2.4800920000416227E-2</c:v>
                </c:pt>
                <c:pt idx="29">
                  <c:v>-3.0937920084397774E-2</c:v>
                </c:pt>
                <c:pt idx="30">
                  <c:v>-2.5442150188609958E-2</c:v>
                </c:pt>
                <c:pt idx="31">
                  <c:v>-3.1627860153093934E-2</c:v>
                </c:pt>
                <c:pt idx="32">
                  <c:v>-4.0290700046170969E-2</c:v>
                </c:pt>
                <c:pt idx="33">
                  <c:v>-6.2893239999539219E-2</c:v>
                </c:pt>
                <c:pt idx="34">
                  <c:v>-7.3704410002392251E-2</c:v>
                </c:pt>
                <c:pt idx="35">
                  <c:v>-6.0610410000663251E-2</c:v>
                </c:pt>
                <c:pt idx="36">
                  <c:v>-7.3704410002392251E-2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DA-4EB0-8DFF-7D6E90110E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DA-4EB0-8DFF-7D6E90110E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DA-4EB0-8DFF-7D6E90110E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DA-4EB0-8DFF-7D6E90110E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3.7843613254517308E-2</c:v>
                </c:pt>
                <c:pt idx="1">
                  <c:v>2.9155872575656647E-2</c:v>
                </c:pt>
                <c:pt idx="2">
                  <c:v>1.474936681690376E-2</c:v>
                </c:pt>
                <c:pt idx="3">
                  <c:v>5.633216907319466E-3</c:v>
                </c:pt>
                <c:pt idx="4">
                  <c:v>5.6132908965881301E-3</c:v>
                </c:pt>
                <c:pt idx="5">
                  <c:v>-9.291365130448051E-3</c:v>
                </c:pt>
                <c:pt idx="6">
                  <c:v>-9.306309638496546E-3</c:v>
                </c:pt>
                <c:pt idx="7">
                  <c:v>-9.5005882431270297E-3</c:v>
                </c:pt>
                <c:pt idx="8">
                  <c:v>-9.5005882431270297E-3</c:v>
                </c:pt>
                <c:pt idx="9">
                  <c:v>-9.6301073128806924E-3</c:v>
                </c:pt>
                <c:pt idx="10">
                  <c:v>-9.6301073128806924E-3</c:v>
                </c:pt>
                <c:pt idx="11">
                  <c:v>-1.0277702661648971E-2</c:v>
                </c:pt>
                <c:pt idx="12">
                  <c:v>-1.0277702661648971E-2</c:v>
                </c:pt>
                <c:pt idx="13">
                  <c:v>-1.0277702661648971E-2</c:v>
                </c:pt>
                <c:pt idx="14">
                  <c:v>-1.7824679226140887E-2</c:v>
                </c:pt>
                <c:pt idx="15">
                  <c:v>-1.7824679226140887E-2</c:v>
                </c:pt>
                <c:pt idx="16">
                  <c:v>-1.7844605236872223E-2</c:v>
                </c:pt>
                <c:pt idx="17">
                  <c:v>-1.7844605236872223E-2</c:v>
                </c:pt>
                <c:pt idx="18">
                  <c:v>-1.8038883841502706E-2</c:v>
                </c:pt>
                <c:pt idx="19">
                  <c:v>-1.8038883841502706E-2</c:v>
                </c:pt>
                <c:pt idx="20">
                  <c:v>-1.8058809852234035E-2</c:v>
                </c:pt>
                <c:pt idx="21">
                  <c:v>-1.8058809852234035E-2</c:v>
                </c:pt>
                <c:pt idx="22">
                  <c:v>-1.8103643376379534E-2</c:v>
                </c:pt>
                <c:pt idx="23">
                  <c:v>-1.8103643376379534E-2</c:v>
                </c:pt>
                <c:pt idx="24">
                  <c:v>-1.8168402911256362E-2</c:v>
                </c:pt>
                <c:pt idx="25">
                  <c:v>-1.8168402911256362E-2</c:v>
                </c:pt>
                <c:pt idx="26">
                  <c:v>-1.8188328921987698E-2</c:v>
                </c:pt>
                <c:pt idx="27">
                  <c:v>-1.8188328921987698E-2</c:v>
                </c:pt>
                <c:pt idx="28">
                  <c:v>-2.4186058152118564E-2</c:v>
                </c:pt>
                <c:pt idx="29">
                  <c:v>-3.2654612712934572E-2</c:v>
                </c:pt>
                <c:pt idx="30">
                  <c:v>-3.2719372247811407E-2</c:v>
                </c:pt>
                <c:pt idx="31">
                  <c:v>-3.2724353750494234E-2</c:v>
                </c:pt>
                <c:pt idx="32">
                  <c:v>-3.274427976122557E-2</c:v>
                </c:pt>
                <c:pt idx="33">
                  <c:v>-6.3001927056752893E-2</c:v>
                </c:pt>
                <c:pt idx="34">
                  <c:v>-7.1604982190005398E-2</c:v>
                </c:pt>
                <c:pt idx="35">
                  <c:v>-6.4630878434039266E-2</c:v>
                </c:pt>
                <c:pt idx="36">
                  <c:v>-7.1604982190005398E-2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DA-4EB0-8DFF-7D6E90110EF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-2.3436999981640838E-3</c:v>
                </c:pt>
                <c:pt idx="6">
                  <c:v>-4.045150002639275E-3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DA-4EB0-8DFF-7D6E90110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5344"/>
        <c:axId val="1"/>
      </c:scatterChart>
      <c:valAx>
        <c:axId val="671955344"/>
        <c:scaling>
          <c:orientation val="minMax"/>
          <c:max val="5700"/>
          <c:min val="5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295802498371915"/>
              <c:y val="0.707123451673803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1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9871371341740179E-2"/>
              <c:y val="0.31657841015487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5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556390977443608"/>
          <c:y val="0.81286795290939506"/>
          <c:w val="0.72932330827067671"/>
          <c:h val="0.15204709060490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Gem - O-C Diagr.</a:t>
            </a:r>
          </a:p>
        </c:rich>
      </c:tx>
      <c:layout>
        <c:manualLayout>
          <c:xMode val="edge"/>
          <c:yMode val="edge"/>
          <c:x val="0.3669172932330827"/>
          <c:y val="1.4577259475218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5338345864662"/>
          <c:y val="0.11661824181487139"/>
          <c:w val="0.82706766917293228"/>
          <c:h val="0.7026249069346001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66-4F58-ABE4-DC76291FDE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66-4F58-ABE4-DC76291FDE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-2.1582400004263036E-3</c:v>
                </c:pt>
                <c:pt idx="2">
                  <c:v>-8.7715599947841838E-3</c:v>
                </c:pt>
                <c:pt idx="3">
                  <c:v>-1.3120859999617096E-2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66-4F58-ABE4-DC76291FDE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5">
                  <c:v>-1.3328019995242357E-2</c:v>
                </c:pt>
                <c:pt idx="7">
                  <c:v>-1.6757839999627322E-2</c:v>
                </c:pt>
                <c:pt idx="8">
                  <c:v>-1.3557840000430588E-2</c:v>
                </c:pt>
                <c:pt idx="9">
                  <c:v>-1.9256299994594883E-2</c:v>
                </c:pt>
                <c:pt idx="10">
                  <c:v>-1.8116299994289875E-2</c:v>
                </c:pt>
                <c:pt idx="11">
                  <c:v>-2.0108599994273391E-2</c:v>
                </c:pt>
                <c:pt idx="12">
                  <c:v>-1.5128599996387493E-2</c:v>
                </c:pt>
                <c:pt idx="13">
                  <c:v>-1.468860000022687E-2</c:v>
                </c:pt>
                <c:pt idx="14">
                  <c:v>-2.1669249996193685E-2</c:v>
                </c:pt>
                <c:pt idx="15">
                  <c:v>-1.4589250000426546E-2</c:v>
                </c:pt>
                <c:pt idx="16">
                  <c:v>-2.3442089994205162E-2</c:v>
                </c:pt>
                <c:pt idx="17">
                  <c:v>-1.9572089993744157E-2</c:v>
                </c:pt>
                <c:pt idx="18">
                  <c:v>-1.7614780001167674E-2</c:v>
                </c:pt>
                <c:pt idx="19">
                  <c:v>-1.5814780002983753E-2</c:v>
                </c:pt>
                <c:pt idx="20">
                  <c:v>-2.1787619996757712E-2</c:v>
                </c:pt>
                <c:pt idx="21">
                  <c:v>-1.7707619997963775E-2</c:v>
                </c:pt>
                <c:pt idx="22">
                  <c:v>-1.8109009994077496E-2</c:v>
                </c:pt>
                <c:pt idx="23">
                  <c:v>-1.3179009998566471E-2</c:v>
                </c:pt>
                <c:pt idx="24">
                  <c:v>-2.0483239997702185E-2</c:v>
                </c:pt>
                <c:pt idx="25">
                  <c:v>-1.7033240001183003E-2</c:v>
                </c:pt>
                <c:pt idx="26">
                  <c:v>-2.0626079996873159E-2</c:v>
                </c:pt>
                <c:pt idx="27">
                  <c:v>-2.0196079996821936E-2</c:v>
                </c:pt>
                <c:pt idx="28">
                  <c:v>-2.4800920000416227E-2</c:v>
                </c:pt>
                <c:pt idx="29">
                  <c:v>-3.0937920084397774E-2</c:v>
                </c:pt>
                <c:pt idx="30">
                  <c:v>-2.5442150188609958E-2</c:v>
                </c:pt>
                <c:pt idx="31">
                  <c:v>-3.1627860153093934E-2</c:v>
                </c:pt>
                <c:pt idx="32">
                  <c:v>-4.0290700046170969E-2</c:v>
                </c:pt>
                <c:pt idx="33">
                  <c:v>-6.2893239999539219E-2</c:v>
                </c:pt>
                <c:pt idx="34">
                  <c:v>-7.3704410002392251E-2</c:v>
                </c:pt>
                <c:pt idx="35">
                  <c:v>-6.0610410000663251E-2</c:v>
                </c:pt>
                <c:pt idx="36">
                  <c:v>-7.3704410002392251E-2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66-4F58-ABE4-DC76291FDE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66-4F58-ABE4-DC76291FDE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66-4F58-ABE4-DC76291FDE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66-4F58-ABE4-DC76291FDE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3.7843613254517308E-2</c:v>
                </c:pt>
                <c:pt idx="1">
                  <c:v>2.9155872575656647E-2</c:v>
                </c:pt>
                <c:pt idx="2">
                  <c:v>1.474936681690376E-2</c:v>
                </c:pt>
                <c:pt idx="3">
                  <c:v>5.633216907319466E-3</c:v>
                </c:pt>
                <c:pt idx="4">
                  <c:v>5.6132908965881301E-3</c:v>
                </c:pt>
                <c:pt idx="5">
                  <c:v>-9.291365130448051E-3</c:v>
                </c:pt>
                <c:pt idx="6">
                  <c:v>-9.306309638496546E-3</c:v>
                </c:pt>
                <c:pt idx="7">
                  <c:v>-9.5005882431270297E-3</c:v>
                </c:pt>
                <c:pt idx="8">
                  <c:v>-9.5005882431270297E-3</c:v>
                </c:pt>
                <c:pt idx="9">
                  <c:v>-9.6301073128806924E-3</c:v>
                </c:pt>
                <c:pt idx="10">
                  <c:v>-9.6301073128806924E-3</c:v>
                </c:pt>
                <c:pt idx="11">
                  <c:v>-1.0277702661648971E-2</c:v>
                </c:pt>
                <c:pt idx="12">
                  <c:v>-1.0277702661648971E-2</c:v>
                </c:pt>
                <c:pt idx="13">
                  <c:v>-1.0277702661648971E-2</c:v>
                </c:pt>
                <c:pt idx="14">
                  <c:v>-1.7824679226140887E-2</c:v>
                </c:pt>
                <c:pt idx="15">
                  <c:v>-1.7824679226140887E-2</c:v>
                </c:pt>
                <c:pt idx="16">
                  <c:v>-1.7844605236872223E-2</c:v>
                </c:pt>
                <c:pt idx="17">
                  <c:v>-1.7844605236872223E-2</c:v>
                </c:pt>
                <c:pt idx="18">
                  <c:v>-1.8038883841502706E-2</c:v>
                </c:pt>
                <c:pt idx="19">
                  <c:v>-1.8038883841502706E-2</c:v>
                </c:pt>
                <c:pt idx="20">
                  <c:v>-1.8058809852234035E-2</c:v>
                </c:pt>
                <c:pt idx="21">
                  <c:v>-1.8058809852234035E-2</c:v>
                </c:pt>
                <c:pt idx="22">
                  <c:v>-1.8103643376379534E-2</c:v>
                </c:pt>
                <c:pt idx="23">
                  <c:v>-1.8103643376379534E-2</c:v>
                </c:pt>
                <c:pt idx="24">
                  <c:v>-1.8168402911256362E-2</c:v>
                </c:pt>
                <c:pt idx="25">
                  <c:v>-1.8168402911256362E-2</c:v>
                </c:pt>
                <c:pt idx="26">
                  <c:v>-1.8188328921987698E-2</c:v>
                </c:pt>
                <c:pt idx="27">
                  <c:v>-1.8188328921987698E-2</c:v>
                </c:pt>
                <c:pt idx="28">
                  <c:v>-2.4186058152118564E-2</c:v>
                </c:pt>
                <c:pt idx="29">
                  <c:v>-3.2654612712934572E-2</c:v>
                </c:pt>
                <c:pt idx="30">
                  <c:v>-3.2719372247811407E-2</c:v>
                </c:pt>
                <c:pt idx="31">
                  <c:v>-3.2724353750494234E-2</c:v>
                </c:pt>
                <c:pt idx="32">
                  <c:v>-3.274427976122557E-2</c:v>
                </c:pt>
                <c:pt idx="33">
                  <c:v>-6.3001927056752893E-2</c:v>
                </c:pt>
                <c:pt idx="34">
                  <c:v>-7.1604982190005398E-2</c:v>
                </c:pt>
                <c:pt idx="35">
                  <c:v>-6.4630878434039266E-2</c:v>
                </c:pt>
                <c:pt idx="36">
                  <c:v>-7.1604982190005398E-2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66-4F58-ABE4-DC76291FDE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-2.3436999981640838E-3</c:v>
                </c:pt>
                <c:pt idx="6">
                  <c:v>-4.045150002639275E-3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66-4F58-ABE4-DC76291F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9280"/>
        <c:axId val="1"/>
      </c:scatterChart>
      <c:valAx>
        <c:axId val="6719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421052631578945"/>
              <c:y val="0.84548227389943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0505870976654242E-2"/>
              <c:y val="0.315644728082459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9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616541353383459E-2"/>
          <c:y val="0.91545311938048557"/>
          <c:w val="0.87368421052631584"/>
          <c:h val="7.5801749271137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0</xdr:rowOff>
    </xdr:from>
    <xdr:to>
      <xdr:col>27</xdr:col>
      <xdr:colOff>180975</xdr:colOff>
      <xdr:row>19</xdr:row>
      <xdr:rowOff>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3B2B0C00-4EBA-9AE8-2AC1-8C366E95E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9525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C36952F0-7BDE-846E-E200-2F3BF7E3F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konkoly.hu/cgi-bin/IBVS?6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43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8.7109375" customWidth="1"/>
  </cols>
  <sheetData>
    <row r="1" spans="1:6" ht="20.25">
      <c r="A1" s="1" t="s">
        <v>40</v>
      </c>
    </row>
    <row r="2" spans="1:6" s="19" customFormat="1" ht="12.95" customHeight="1">
      <c r="A2" s="19" t="s">
        <v>24</v>
      </c>
      <c r="B2" s="19" t="s">
        <v>41</v>
      </c>
      <c r="C2" s="20"/>
      <c r="D2" s="20"/>
      <c r="E2" s="19" t="s">
        <v>39</v>
      </c>
      <c r="F2" s="19" t="s">
        <v>49</v>
      </c>
    </row>
    <row r="3" spans="1:6" s="19" customFormat="1" ht="12.95" customHeight="1" thickBot="1"/>
    <row r="4" spans="1:6" s="19" customFormat="1" ht="12.95" customHeight="1" thickTop="1" thickBot="1">
      <c r="A4" s="21" t="s">
        <v>1</v>
      </c>
      <c r="C4" s="22" t="s">
        <v>38</v>
      </c>
      <c r="D4" s="23" t="s">
        <v>38</v>
      </c>
    </row>
    <row r="5" spans="1:6" s="19" customFormat="1" ht="12.95" customHeight="1" thickTop="1">
      <c r="A5" s="24" t="s">
        <v>29</v>
      </c>
      <c r="C5" s="25">
        <v>-9.5</v>
      </c>
      <c r="D5" s="19" t="s">
        <v>30</v>
      </c>
    </row>
    <row r="6" spans="1:6" s="19" customFormat="1" ht="12.95" customHeight="1">
      <c r="A6" s="21" t="s">
        <v>2</v>
      </c>
    </row>
    <row r="7" spans="1:6" s="19" customFormat="1" ht="12.95" customHeight="1">
      <c r="A7" s="19" t="s">
        <v>3</v>
      </c>
      <c r="C7" s="26">
        <v>54507.400699999998</v>
      </c>
      <c r="D7" s="27" t="s">
        <v>42</v>
      </c>
    </row>
    <row r="8" spans="1:6" s="19" customFormat="1" ht="12.95" customHeight="1">
      <c r="A8" s="19" t="s">
        <v>4</v>
      </c>
      <c r="C8" s="26">
        <v>0.46211141999999999</v>
      </c>
      <c r="D8" s="27" t="s">
        <v>42</v>
      </c>
    </row>
    <row r="9" spans="1:6" s="19" customFormat="1" ht="12.95" customHeight="1">
      <c r="A9" s="28" t="s">
        <v>33</v>
      </c>
      <c r="B9" s="29">
        <v>40</v>
      </c>
      <c r="C9" s="30" t="str">
        <f>"F"&amp;B9</f>
        <v>F40</v>
      </c>
      <c r="D9" s="31" t="str">
        <f>"G"&amp;B9</f>
        <v>G40</v>
      </c>
    </row>
    <row r="10" spans="1:6" s="19" customFormat="1" ht="12.95" customHeight="1" thickBot="1">
      <c r="C10" s="32" t="s">
        <v>20</v>
      </c>
      <c r="D10" s="32" t="s">
        <v>21</v>
      </c>
    </row>
    <row r="11" spans="1:6" s="19" customFormat="1" ht="12.95" customHeight="1">
      <c r="A11" s="19" t="s">
        <v>16</v>
      </c>
      <c r="C11" s="31">
        <f ca="1">INTERCEPT(INDIRECT($D$9):G992,INDIRECT($C$9):F992)</f>
        <v>3.7843613254517308E-2</v>
      </c>
      <c r="D11" s="20"/>
    </row>
    <row r="12" spans="1:6" s="19" customFormat="1" ht="12.95" customHeight="1">
      <c r="A12" s="19" t="s">
        <v>17</v>
      </c>
      <c r="C12" s="31">
        <f ca="1">SLOPE(INDIRECT($D$9):G992,INDIRECT($C$9):F992)</f>
        <v>-9.9630053656658967E-6</v>
      </c>
      <c r="D12" s="20"/>
    </row>
    <row r="13" spans="1:6" s="19" customFormat="1" ht="12.95" customHeight="1">
      <c r="A13" s="19" t="s">
        <v>19</v>
      </c>
      <c r="C13" s="20" t="s">
        <v>14</v>
      </c>
    </row>
    <row r="14" spans="1:6" s="19" customFormat="1" ht="12.95" customHeight="1"/>
    <row r="15" spans="1:6" s="19" customFormat="1" ht="12.95" customHeight="1">
      <c r="A15" s="33" t="s">
        <v>18</v>
      </c>
      <c r="C15" s="34">
        <f ca="1">(C7+C11)+(C8+C12)*INT(MAX(F21:F3533))</f>
        <v>59583.623048699308</v>
      </c>
      <c r="E15" s="35" t="s">
        <v>35</v>
      </c>
      <c r="F15" s="25">
        <v>1</v>
      </c>
    </row>
    <row r="16" spans="1:6" s="19" customFormat="1" ht="12.95" customHeight="1">
      <c r="A16" s="21" t="s">
        <v>5</v>
      </c>
      <c r="C16" s="36">
        <f ca="1">+C8+C12</f>
        <v>0.46210145699463434</v>
      </c>
      <c r="E16" s="35" t="s">
        <v>31</v>
      </c>
      <c r="F16" s="37">
        <f ca="1">NOW()+15018.5+$C$5/24</f>
        <v>60312.815468981476</v>
      </c>
    </row>
    <row r="17" spans="1:21" s="19" customFormat="1" ht="12.95" customHeight="1" thickBot="1">
      <c r="A17" s="35" t="s">
        <v>28</v>
      </c>
      <c r="C17" s="19">
        <f>COUNT(C21:C2191)</f>
        <v>37</v>
      </c>
      <c r="E17" s="35" t="s">
        <v>36</v>
      </c>
      <c r="F17" s="37">
        <f ca="1">ROUND(2*(F16-$C$7)/$C$8,0)/2+F15</f>
        <v>12564</v>
      </c>
    </row>
    <row r="18" spans="1:21" s="19" customFormat="1" ht="12.95" customHeight="1" thickTop="1" thickBot="1">
      <c r="A18" s="21" t="s">
        <v>6</v>
      </c>
      <c r="C18" s="38">
        <f ca="1">+C15</f>
        <v>59583.623048699308</v>
      </c>
      <c r="D18" s="39">
        <f ca="1">+C16</f>
        <v>0.46210145699463434</v>
      </c>
      <c r="E18" s="35" t="s">
        <v>37</v>
      </c>
      <c r="F18" s="31">
        <f ca="1">ROUND(2*(F16-$C$15)/$C$16,0)/2+F15</f>
        <v>1579</v>
      </c>
    </row>
    <row r="19" spans="1:21" s="19" customFormat="1" ht="12.95" customHeight="1" thickTop="1">
      <c r="E19" s="35" t="s">
        <v>32</v>
      </c>
      <c r="F19" s="40">
        <f ca="1">+$C$15+$C$16*F18-15018.5-$C$5/24</f>
        <v>45295.177082627175</v>
      </c>
    </row>
    <row r="20" spans="1:21" s="19" customFormat="1" ht="12.95" customHeight="1" thickBot="1">
      <c r="A20" s="32" t="s">
        <v>7</v>
      </c>
      <c r="B20" s="32" t="s">
        <v>8</v>
      </c>
      <c r="C20" s="32" t="s">
        <v>9</v>
      </c>
      <c r="D20" s="32" t="s">
        <v>13</v>
      </c>
      <c r="E20" s="32" t="s">
        <v>10</v>
      </c>
      <c r="F20" s="32" t="s">
        <v>11</v>
      </c>
      <c r="G20" s="32" t="s">
        <v>12</v>
      </c>
      <c r="H20" s="41" t="s">
        <v>58</v>
      </c>
      <c r="I20" s="41" t="s">
        <v>61</v>
      </c>
      <c r="J20" s="41" t="s">
        <v>55</v>
      </c>
      <c r="K20" s="41" t="s">
        <v>53</v>
      </c>
      <c r="L20" s="41" t="s">
        <v>25</v>
      </c>
      <c r="M20" s="41" t="s">
        <v>26</v>
      </c>
      <c r="N20" s="41" t="s">
        <v>27</v>
      </c>
      <c r="O20" s="41" t="s">
        <v>23</v>
      </c>
      <c r="P20" s="42" t="s">
        <v>22</v>
      </c>
      <c r="Q20" s="32" t="s">
        <v>15</v>
      </c>
      <c r="U20" s="43" t="s">
        <v>34</v>
      </c>
    </row>
    <row r="21" spans="1:21" s="19" customFormat="1" ht="12.95" customHeight="1">
      <c r="A21" s="19" t="str">
        <f>D7</f>
        <v>BRNO</v>
      </c>
      <c r="C21" s="26">
        <f>C$7</f>
        <v>54507.400699999998</v>
      </c>
      <c r="D21" s="26" t="s">
        <v>14</v>
      </c>
      <c r="E21" s="19">
        <f t="shared" ref="E21:E55" si="0">+(C21-C$7)/C$8</f>
        <v>0</v>
      </c>
      <c r="F21" s="19">
        <f t="shared" ref="F21:F56" si="1">ROUND(2*E21,0)/2</f>
        <v>0</v>
      </c>
      <c r="G21" s="19">
        <f>+C21-(C$7+F21*C$8)</f>
        <v>0</v>
      </c>
      <c r="K21" s="19">
        <f>+G21</f>
        <v>0</v>
      </c>
      <c r="O21" s="19">
        <f t="shared" ref="O21:O55" ca="1" si="2">+C$11+C$12*$F21</f>
        <v>3.7843613254517308E-2</v>
      </c>
      <c r="Q21" s="44">
        <f t="shared" ref="Q21:Q55" si="3">+C21-15018.5</f>
        <v>39488.900699999998</v>
      </c>
    </row>
    <row r="22" spans="1:21" s="19" customFormat="1" ht="12.95" customHeight="1">
      <c r="A22" s="45" t="s">
        <v>43</v>
      </c>
      <c r="B22" s="46" t="s">
        <v>44</v>
      </c>
      <c r="C22" s="47">
        <v>54910.359700000001</v>
      </c>
      <c r="D22" s="47">
        <v>4.1999999999999997E-3</v>
      </c>
      <c r="E22" s="19">
        <f t="shared" si="0"/>
        <v>871.99532961120622</v>
      </c>
      <c r="F22" s="19">
        <f t="shared" si="1"/>
        <v>872</v>
      </c>
      <c r="G22" s="19">
        <f>+C22-(C$7+F22*C$8)</f>
        <v>-2.1582400004263036E-3</v>
      </c>
      <c r="J22" s="19">
        <f>+G22</f>
        <v>-2.1582400004263036E-3</v>
      </c>
      <c r="O22" s="19">
        <f t="shared" ca="1" si="2"/>
        <v>2.9155872575656647E-2</v>
      </c>
      <c r="Q22" s="44">
        <f t="shared" si="3"/>
        <v>39891.859700000001</v>
      </c>
    </row>
    <row r="23" spans="1:21" s="19" customFormat="1" ht="12.95" customHeight="1">
      <c r="A23" s="48" t="s">
        <v>50</v>
      </c>
      <c r="B23" s="48"/>
      <c r="C23" s="49">
        <v>55578.566200000001</v>
      </c>
      <c r="D23" s="49">
        <v>4.4999999999999997E-3</v>
      </c>
      <c r="E23" s="19">
        <f t="shared" si="0"/>
        <v>2317.9810185171418</v>
      </c>
      <c r="F23" s="19">
        <f t="shared" si="1"/>
        <v>2318</v>
      </c>
      <c r="G23" s="19">
        <f>+C23-(C$7+F23*C$8)</f>
        <v>-8.7715599947841838E-3</v>
      </c>
      <c r="J23" s="19">
        <f>+G23</f>
        <v>-8.7715599947841838E-3</v>
      </c>
      <c r="O23" s="19">
        <f t="shared" ca="1" si="2"/>
        <v>1.474936681690376E-2</v>
      </c>
      <c r="Q23" s="44">
        <f t="shared" si="3"/>
        <v>40560.066200000001</v>
      </c>
    </row>
    <row r="24" spans="1:21" s="19" customFormat="1" ht="12.95" customHeight="1">
      <c r="A24" s="45" t="s">
        <v>45</v>
      </c>
      <c r="B24" s="46" t="s">
        <v>44</v>
      </c>
      <c r="C24" s="47">
        <v>56001.393799999998</v>
      </c>
      <c r="D24" s="47">
        <v>1E-3</v>
      </c>
      <c r="E24" s="19">
        <f t="shared" si="0"/>
        <v>3232.9716067177037</v>
      </c>
      <c r="F24" s="19">
        <f t="shared" si="1"/>
        <v>3233</v>
      </c>
      <c r="G24" s="19">
        <f>+C24-(C$7+F24*C$8)</f>
        <v>-1.3120859999617096E-2</v>
      </c>
      <c r="J24" s="19">
        <f>+G24</f>
        <v>-1.3120859999617096E-2</v>
      </c>
      <c r="O24" s="19">
        <f t="shared" ca="1" si="2"/>
        <v>5.633216907319466E-3</v>
      </c>
      <c r="Q24" s="44">
        <f t="shared" si="3"/>
        <v>40982.893799999998</v>
      </c>
    </row>
    <row r="25" spans="1:21" s="19" customFormat="1" ht="12.95" customHeight="1">
      <c r="A25" s="45" t="s">
        <v>45</v>
      </c>
      <c r="B25" s="46" t="s">
        <v>44</v>
      </c>
      <c r="C25" s="47">
        <v>56002.328800000003</v>
      </c>
      <c r="D25" s="47">
        <v>2.5000000000000001E-3</v>
      </c>
      <c r="E25" s="19">
        <f t="shared" si="0"/>
        <v>3234.9949282794282</v>
      </c>
      <c r="F25" s="19">
        <f t="shared" si="1"/>
        <v>3235</v>
      </c>
      <c r="O25" s="19">
        <f t="shared" ca="1" si="2"/>
        <v>5.6132908965881301E-3</v>
      </c>
      <c r="Q25" s="44">
        <f t="shared" si="3"/>
        <v>40983.828800000003</v>
      </c>
      <c r="U25" s="19">
        <f>+C25-(C$7+F25*C$8)</f>
        <v>-2.3436999981640838E-3</v>
      </c>
    </row>
    <row r="26" spans="1:21" s="19" customFormat="1" ht="12.95" customHeight="1">
      <c r="A26" s="50" t="s">
        <v>46</v>
      </c>
      <c r="B26" s="45"/>
      <c r="C26" s="47">
        <v>56693.636500000001</v>
      </c>
      <c r="D26" s="47">
        <v>5.0000000000000001E-4</v>
      </c>
      <c r="E26" s="19">
        <f t="shared" si="0"/>
        <v>4730.9711584275547</v>
      </c>
      <c r="F26" s="19">
        <f t="shared" si="1"/>
        <v>4731</v>
      </c>
      <c r="G26" s="19">
        <f>+C26-(C$7+F26*C$8)</f>
        <v>-1.3328019995242357E-2</v>
      </c>
      <c r="K26" s="19">
        <f>+G26</f>
        <v>-1.3328019995242357E-2</v>
      </c>
      <c r="O26" s="19">
        <f t="shared" ca="1" si="2"/>
        <v>-9.291365130448051E-3</v>
      </c>
      <c r="Q26" s="44">
        <f t="shared" si="3"/>
        <v>41675.136500000001</v>
      </c>
    </row>
    <row r="27" spans="1:21" s="19" customFormat="1" ht="12.95" customHeight="1">
      <c r="A27" s="47" t="s">
        <v>47</v>
      </c>
      <c r="B27" s="46" t="s">
        <v>48</v>
      </c>
      <c r="C27" s="51">
        <v>56694.338949999998</v>
      </c>
      <c r="D27" s="47">
        <v>1.1000000000000001E-3</v>
      </c>
      <c r="E27" s="19">
        <f t="shared" si="0"/>
        <v>4732.4912463751689</v>
      </c>
      <c r="F27" s="19">
        <f t="shared" si="1"/>
        <v>4732.5</v>
      </c>
      <c r="O27" s="19">
        <f t="shared" ca="1" si="2"/>
        <v>-9.306309638496546E-3</v>
      </c>
      <c r="Q27" s="44">
        <f t="shared" si="3"/>
        <v>41675.838949999998</v>
      </c>
      <c r="U27" s="19">
        <f>+C27-(C$7+F27*C$8)</f>
        <v>-4.045150002639275E-3</v>
      </c>
    </row>
    <row r="28" spans="1:21" s="19" customFormat="1" ht="12.95" customHeight="1">
      <c r="A28" s="47" t="s">
        <v>47</v>
      </c>
      <c r="B28" s="46" t="s">
        <v>44</v>
      </c>
      <c r="C28" s="51">
        <v>56703.33741</v>
      </c>
      <c r="D28" s="47">
        <v>5.9999999999999995E-4</v>
      </c>
      <c r="E28" s="19">
        <f t="shared" si="0"/>
        <v>4751.9637363647098</v>
      </c>
      <c r="F28" s="19">
        <f t="shared" si="1"/>
        <v>4752</v>
      </c>
      <c r="G28" s="19">
        <f t="shared" ref="G28:G55" si="4">+C28-(C$7+F28*C$8)</f>
        <v>-1.6757839999627322E-2</v>
      </c>
      <c r="K28" s="19">
        <f t="shared" ref="K28:K55" si="5">+G28</f>
        <v>-1.6757839999627322E-2</v>
      </c>
      <c r="O28" s="19">
        <f t="shared" ca="1" si="2"/>
        <v>-9.5005882431270297E-3</v>
      </c>
      <c r="Q28" s="44">
        <f t="shared" si="3"/>
        <v>41684.83741</v>
      </c>
    </row>
    <row r="29" spans="1:21" s="19" customFormat="1" ht="12.95" customHeight="1">
      <c r="A29" s="47" t="s">
        <v>47</v>
      </c>
      <c r="B29" s="46" t="s">
        <v>44</v>
      </c>
      <c r="C29" s="51">
        <v>56703.340609999999</v>
      </c>
      <c r="D29" s="47">
        <v>6.9999999999999999E-4</v>
      </c>
      <c r="E29" s="19">
        <f t="shared" si="0"/>
        <v>4751.9706611016036</v>
      </c>
      <c r="F29" s="19">
        <f t="shared" si="1"/>
        <v>4752</v>
      </c>
      <c r="G29" s="19">
        <f t="shared" si="4"/>
        <v>-1.3557840000430588E-2</v>
      </c>
      <c r="K29" s="19">
        <f t="shared" si="5"/>
        <v>-1.3557840000430588E-2</v>
      </c>
      <c r="O29" s="19">
        <f t="shared" ca="1" si="2"/>
        <v>-9.5005882431270297E-3</v>
      </c>
      <c r="Q29" s="44">
        <f t="shared" si="3"/>
        <v>41684.840609999999</v>
      </c>
    </row>
    <row r="30" spans="1:21" s="19" customFormat="1" ht="12.95" customHeight="1">
      <c r="A30" s="47" t="s">
        <v>47</v>
      </c>
      <c r="B30" s="46" t="s">
        <v>44</v>
      </c>
      <c r="C30" s="51">
        <v>56709.342360000002</v>
      </c>
      <c r="D30" s="47">
        <v>5.0000000000000001E-4</v>
      </c>
      <c r="E30" s="19">
        <f t="shared" si="0"/>
        <v>4764.9583297465451</v>
      </c>
      <c r="F30" s="19">
        <f t="shared" si="1"/>
        <v>4765</v>
      </c>
      <c r="G30" s="19">
        <f t="shared" si="4"/>
        <v>-1.9256299994594883E-2</v>
      </c>
      <c r="K30" s="19">
        <f t="shared" si="5"/>
        <v>-1.9256299994594883E-2</v>
      </c>
      <c r="O30" s="19">
        <f t="shared" ca="1" si="2"/>
        <v>-9.6301073128806924E-3</v>
      </c>
      <c r="Q30" s="44">
        <f t="shared" si="3"/>
        <v>41690.842360000002</v>
      </c>
    </row>
    <row r="31" spans="1:21" s="19" customFormat="1" ht="12.95" customHeight="1">
      <c r="A31" s="47" t="s">
        <v>47</v>
      </c>
      <c r="B31" s="46" t="s">
        <v>44</v>
      </c>
      <c r="C31" s="51">
        <v>56709.343500000003</v>
      </c>
      <c r="D31" s="47">
        <v>1E-4</v>
      </c>
      <c r="E31" s="19">
        <f t="shared" si="0"/>
        <v>4764.9607966840649</v>
      </c>
      <c r="F31" s="19">
        <f t="shared" si="1"/>
        <v>4765</v>
      </c>
      <c r="G31" s="19">
        <f t="shared" si="4"/>
        <v>-1.8116299994289875E-2</v>
      </c>
      <c r="K31" s="19">
        <f t="shared" si="5"/>
        <v>-1.8116299994289875E-2</v>
      </c>
      <c r="O31" s="19">
        <f t="shared" ca="1" si="2"/>
        <v>-9.6301073128806924E-3</v>
      </c>
      <c r="Q31" s="44">
        <f t="shared" si="3"/>
        <v>41690.843500000003</v>
      </c>
    </row>
    <row r="32" spans="1:21" s="19" customFormat="1" ht="12.95" customHeight="1">
      <c r="A32" s="47" t="s">
        <v>47</v>
      </c>
      <c r="B32" s="46" t="s">
        <v>44</v>
      </c>
      <c r="C32" s="51">
        <v>56739.378750000003</v>
      </c>
      <c r="D32" s="47">
        <v>1.5E-3</v>
      </c>
      <c r="E32" s="19">
        <f t="shared" si="0"/>
        <v>4829.9564853861548</v>
      </c>
      <c r="F32" s="19">
        <f t="shared" si="1"/>
        <v>4830</v>
      </c>
      <c r="G32" s="19">
        <f t="shared" si="4"/>
        <v>-2.0108599994273391E-2</v>
      </c>
      <c r="K32" s="19">
        <f t="shared" si="5"/>
        <v>-2.0108599994273391E-2</v>
      </c>
      <c r="O32" s="19">
        <f t="shared" ca="1" si="2"/>
        <v>-1.0277702661648971E-2</v>
      </c>
      <c r="Q32" s="44">
        <f t="shared" si="3"/>
        <v>41720.878750000003</v>
      </c>
    </row>
    <row r="33" spans="1:17" s="19" customFormat="1" ht="12.95" customHeight="1">
      <c r="A33" s="47" t="s">
        <v>47</v>
      </c>
      <c r="B33" s="46" t="s">
        <v>44</v>
      </c>
      <c r="C33" s="51">
        <v>56739.383730000001</v>
      </c>
      <c r="D33" s="47">
        <v>3.2000000000000002E-3</v>
      </c>
      <c r="E33" s="19">
        <f t="shared" si="0"/>
        <v>4829.9672620079436</v>
      </c>
      <c r="F33" s="19">
        <f t="shared" si="1"/>
        <v>4830</v>
      </c>
      <c r="G33" s="19">
        <f t="shared" si="4"/>
        <v>-1.5128599996387493E-2</v>
      </c>
      <c r="K33" s="19">
        <f t="shared" si="5"/>
        <v>-1.5128599996387493E-2</v>
      </c>
      <c r="O33" s="19">
        <f t="shared" ca="1" si="2"/>
        <v>-1.0277702661648971E-2</v>
      </c>
      <c r="Q33" s="44">
        <f t="shared" si="3"/>
        <v>41720.883730000001</v>
      </c>
    </row>
    <row r="34" spans="1:17" s="19" customFormat="1" ht="12.95" customHeight="1">
      <c r="A34" s="47" t="s">
        <v>47</v>
      </c>
      <c r="B34" s="46" t="s">
        <v>44</v>
      </c>
      <c r="C34" s="51">
        <v>56739.384169999998</v>
      </c>
      <c r="D34" s="47">
        <v>1.4E-3</v>
      </c>
      <c r="E34" s="19">
        <f t="shared" si="0"/>
        <v>4829.9682141592593</v>
      </c>
      <c r="F34" s="19">
        <f t="shared" si="1"/>
        <v>4830</v>
      </c>
      <c r="G34" s="19">
        <f t="shared" si="4"/>
        <v>-1.468860000022687E-2</v>
      </c>
      <c r="K34" s="19">
        <f t="shared" si="5"/>
        <v>-1.468860000022687E-2</v>
      </c>
      <c r="O34" s="19">
        <f t="shared" ca="1" si="2"/>
        <v>-1.0277702661648971E-2</v>
      </c>
      <c r="Q34" s="44">
        <f t="shared" si="3"/>
        <v>41720.884169999998</v>
      </c>
    </row>
    <row r="35" spans="1:17" s="19" customFormat="1" ht="12.95" customHeight="1">
      <c r="A35" s="52" t="s">
        <v>83</v>
      </c>
      <c r="B35" s="53" t="s">
        <v>48</v>
      </c>
      <c r="C35" s="54">
        <v>57089.426590000003</v>
      </c>
      <c r="D35" s="54">
        <v>1.4E-3</v>
      </c>
      <c r="E35" s="19">
        <f t="shared" si="0"/>
        <v>5587.453108170329</v>
      </c>
      <c r="F35" s="19">
        <f t="shared" si="1"/>
        <v>5587.5</v>
      </c>
      <c r="G35" s="19">
        <f t="shared" si="4"/>
        <v>-2.1669249996193685E-2</v>
      </c>
      <c r="K35" s="19">
        <f t="shared" si="5"/>
        <v>-2.1669249996193685E-2</v>
      </c>
      <c r="O35" s="19">
        <f t="shared" ca="1" si="2"/>
        <v>-1.7824679226140887E-2</v>
      </c>
      <c r="Q35" s="44">
        <f t="shared" si="3"/>
        <v>42070.926590000003</v>
      </c>
    </row>
    <row r="36" spans="1:17" s="19" customFormat="1" ht="12.95" customHeight="1">
      <c r="A36" s="52" t="s">
        <v>83</v>
      </c>
      <c r="B36" s="53" t="s">
        <v>48</v>
      </c>
      <c r="C36" s="54">
        <v>57089.433669999999</v>
      </c>
      <c r="D36" s="54">
        <v>1.6999999999999999E-3</v>
      </c>
      <c r="E36" s="19">
        <f t="shared" si="0"/>
        <v>5587.4684291507019</v>
      </c>
      <c r="F36" s="19">
        <f t="shared" si="1"/>
        <v>5587.5</v>
      </c>
      <c r="G36" s="19">
        <f t="shared" si="4"/>
        <v>-1.4589250000426546E-2</v>
      </c>
      <c r="K36" s="19">
        <f t="shared" si="5"/>
        <v>-1.4589250000426546E-2</v>
      </c>
      <c r="O36" s="19">
        <f t="shared" ca="1" si="2"/>
        <v>-1.7824679226140887E-2</v>
      </c>
      <c r="Q36" s="44">
        <f t="shared" si="3"/>
        <v>42070.933669999999</v>
      </c>
    </row>
    <row r="37" spans="1:17" s="19" customFormat="1" ht="12.95" customHeight="1">
      <c r="A37" s="52" t="s">
        <v>83</v>
      </c>
      <c r="B37" s="53" t="s">
        <v>48</v>
      </c>
      <c r="C37" s="54">
        <v>57090.349040000001</v>
      </c>
      <c r="D37" s="54">
        <v>1.5E-3</v>
      </c>
      <c r="E37" s="19">
        <f t="shared" si="0"/>
        <v>5589.4492717795256</v>
      </c>
      <c r="F37" s="19">
        <f t="shared" si="1"/>
        <v>5589.5</v>
      </c>
      <c r="G37" s="19">
        <f t="shared" si="4"/>
        <v>-2.3442089994205162E-2</v>
      </c>
      <c r="K37" s="19">
        <f t="shared" si="5"/>
        <v>-2.3442089994205162E-2</v>
      </c>
      <c r="O37" s="19">
        <f t="shared" ca="1" si="2"/>
        <v>-1.7844605236872223E-2</v>
      </c>
      <c r="Q37" s="44">
        <f t="shared" si="3"/>
        <v>42071.849040000001</v>
      </c>
    </row>
    <row r="38" spans="1:17" s="19" customFormat="1" ht="12.95" customHeight="1">
      <c r="A38" s="52" t="s">
        <v>83</v>
      </c>
      <c r="B38" s="53" t="s">
        <v>48</v>
      </c>
      <c r="C38" s="54">
        <v>57090.352910000001</v>
      </c>
      <c r="D38" s="54">
        <v>1E-3</v>
      </c>
      <c r="E38" s="19">
        <f t="shared" si="0"/>
        <v>5589.45764638321</v>
      </c>
      <c r="F38" s="19">
        <f t="shared" si="1"/>
        <v>5589.5</v>
      </c>
      <c r="G38" s="19">
        <f t="shared" si="4"/>
        <v>-1.9572089993744157E-2</v>
      </c>
      <c r="K38" s="19">
        <f t="shared" si="5"/>
        <v>-1.9572089993744157E-2</v>
      </c>
      <c r="O38" s="19">
        <f t="shared" ca="1" si="2"/>
        <v>-1.7844605236872223E-2</v>
      </c>
      <c r="Q38" s="44">
        <f t="shared" si="3"/>
        <v>42071.852910000001</v>
      </c>
    </row>
    <row r="39" spans="1:17" s="19" customFormat="1" ht="12.95" customHeight="1">
      <c r="A39" s="52" t="s">
        <v>83</v>
      </c>
      <c r="B39" s="53" t="s">
        <v>44</v>
      </c>
      <c r="C39" s="54">
        <v>57099.366040000001</v>
      </c>
      <c r="D39" s="54">
        <v>5.0000000000000001E-4</v>
      </c>
      <c r="E39" s="19">
        <f t="shared" si="0"/>
        <v>5608.9618819634507</v>
      </c>
      <c r="F39" s="19">
        <f t="shared" si="1"/>
        <v>5609</v>
      </c>
      <c r="G39" s="19">
        <f t="shared" si="4"/>
        <v>-1.7614780001167674E-2</v>
      </c>
      <c r="K39" s="19">
        <f t="shared" si="5"/>
        <v>-1.7614780001167674E-2</v>
      </c>
      <c r="O39" s="19">
        <f t="shared" ca="1" si="2"/>
        <v>-1.8038883841502706E-2</v>
      </c>
      <c r="Q39" s="44">
        <f t="shared" si="3"/>
        <v>42080.866040000001</v>
      </c>
    </row>
    <row r="40" spans="1:17" s="19" customFormat="1" ht="12.95" customHeight="1">
      <c r="A40" s="52" t="s">
        <v>83</v>
      </c>
      <c r="B40" s="53" t="s">
        <v>44</v>
      </c>
      <c r="C40" s="54">
        <v>57099.367839999999</v>
      </c>
      <c r="D40" s="54">
        <v>8.9999999999999998E-4</v>
      </c>
      <c r="E40" s="19">
        <f t="shared" si="0"/>
        <v>5608.9657771279508</v>
      </c>
      <c r="F40" s="19">
        <f t="shared" si="1"/>
        <v>5609</v>
      </c>
      <c r="G40" s="19">
        <f t="shared" si="4"/>
        <v>-1.5814780002983753E-2</v>
      </c>
      <c r="K40" s="19">
        <f t="shared" si="5"/>
        <v>-1.5814780002983753E-2</v>
      </c>
      <c r="O40" s="19">
        <f t="shared" ca="1" si="2"/>
        <v>-1.8038883841502706E-2</v>
      </c>
      <c r="Q40" s="44">
        <f t="shared" si="3"/>
        <v>42080.867839999999</v>
      </c>
    </row>
    <row r="41" spans="1:17" s="19" customFormat="1" ht="12.95" customHeight="1">
      <c r="A41" s="52" t="s">
        <v>83</v>
      </c>
      <c r="B41" s="53" t="s">
        <v>44</v>
      </c>
      <c r="C41" s="54">
        <v>57100.286090000001</v>
      </c>
      <c r="D41" s="54">
        <v>8.0000000000000004E-4</v>
      </c>
      <c r="E41" s="19">
        <f t="shared" si="0"/>
        <v>5610.952852019981</v>
      </c>
      <c r="F41" s="19">
        <f t="shared" si="1"/>
        <v>5611</v>
      </c>
      <c r="G41" s="19">
        <f t="shared" si="4"/>
        <v>-2.1787619996757712E-2</v>
      </c>
      <c r="K41" s="19">
        <f t="shared" si="5"/>
        <v>-2.1787619996757712E-2</v>
      </c>
      <c r="O41" s="19">
        <f t="shared" ca="1" si="2"/>
        <v>-1.8058809852234035E-2</v>
      </c>
      <c r="Q41" s="44">
        <f t="shared" si="3"/>
        <v>42081.786090000001</v>
      </c>
    </row>
    <row r="42" spans="1:17" s="19" customFormat="1" ht="12.95" customHeight="1">
      <c r="A42" s="52" t="s">
        <v>83</v>
      </c>
      <c r="B42" s="53" t="s">
        <v>44</v>
      </c>
      <c r="C42" s="54">
        <v>57100.29017</v>
      </c>
      <c r="D42" s="54">
        <v>6.9999999999999999E-4</v>
      </c>
      <c r="E42" s="19">
        <f t="shared" si="0"/>
        <v>5610.9616810595198</v>
      </c>
      <c r="F42" s="19">
        <f t="shared" si="1"/>
        <v>5611</v>
      </c>
      <c r="G42" s="19">
        <f t="shared" si="4"/>
        <v>-1.7707619997963775E-2</v>
      </c>
      <c r="K42" s="19">
        <f t="shared" si="5"/>
        <v>-1.7707619997963775E-2</v>
      </c>
      <c r="O42" s="19">
        <f t="shared" ca="1" si="2"/>
        <v>-1.8058809852234035E-2</v>
      </c>
      <c r="Q42" s="44">
        <f t="shared" si="3"/>
        <v>42081.79017</v>
      </c>
    </row>
    <row r="43" spans="1:17" s="19" customFormat="1" ht="12.95" customHeight="1">
      <c r="A43" s="52" t="s">
        <v>83</v>
      </c>
      <c r="B43" s="53" t="s">
        <v>48</v>
      </c>
      <c r="C43" s="54">
        <v>57102.369270000003</v>
      </c>
      <c r="D43" s="54">
        <v>8.0000000000000004E-4</v>
      </c>
      <c r="E43" s="19">
        <f t="shared" si="0"/>
        <v>5615.4608124594815</v>
      </c>
      <c r="F43" s="19">
        <f t="shared" si="1"/>
        <v>5615.5</v>
      </c>
      <c r="G43" s="19">
        <f t="shared" si="4"/>
        <v>-1.8109009994077496E-2</v>
      </c>
      <c r="K43" s="19">
        <f t="shared" si="5"/>
        <v>-1.8109009994077496E-2</v>
      </c>
      <c r="O43" s="19">
        <f t="shared" ca="1" si="2"/>
        <v>-1.8103643376379534E-2</v>
      </c>
      <c r="Q43" s="44">
        <f t="shared" si="3"/>
        <v>42083.869270000003</v>
      </c>
    </row>
    <row r="44" spans="1:17" s="19" customFormat="1" ht="12.95" customHeight="1">
      <c r="A44" s="52" t="s">
        <v>83</v>
      </c>
      <c r="B44" s="53" t="s">
        <v>48</v>
      </c>
      <c r="C44" s="54">
        <v>57102.374199999998</v>
      </c>
      <c r="D44" s="54">
        <v>1.1999999999999999E-3</v>
      </c>
      <c r="E44" s="19">
        <f t="shared" si="0"/>
        <v>5615.4714808822519</v>
      </c>
      <c r="F44" s="19">
        <f t="shared" si="1"/>
        <v>5615.5</v>
      </c>
      <c r="G44" s="19">
        <f t="shared" si="4"/>
        <v>-1.3179009998566471E-2</v>
      </c>
      <c r="K44" s="19">
        <f t="shared" si="5"/>
        <v>-1.3179009998566471E-2</v>
      </c>
      <c r="O44" s="19">
        <f t="shared" ca="1" si="2"/>
        <v>-1.8103643376379534E-2</v>
      </c>
      <c r="Q44" s="44">
        <f t="shared" si="3"/>
        <v>42083.874199999998</v>
      </c>
    </row>
    <row r="45" spans="1:17" s="19" customFormat="1" ht="12.95" customHeight="1">
      <c r="A45" s="52" t="s">
        <v>83</v>
      </c>
      <c r="B45" s="53" t="s">
        <v>44</v>
      </c>
      <c r="C45" s="54">
        <v>57105.370620000002</v>
      </c>
      <c r="D45" s="54">
        <v>1.4E-3</v>
      </c>
      <c r="E45" s="19">
        <f t="shared" si="0"/>
        <v>5621.9556746725784</v>
      </c>
      <c r="F45" s="19">
        <f t="shared" si="1"/>
        <v>5622</v>
      </c>
      <c r="G45" s="19">
        <f t="shared" si="4"/>
        <v>-2.0483239997702185E-2</v>
      </c>
      <c r="K45" s="19">
        <f t="shared" si="5"/>
        <v>-2.0483239997702185E-2</v>
      </c>
      <c r="O45" s="19">
        <f t="shared" ca="1" si="2"/>
        <v>-1.8168402911256362E-2</v>
      </c>
      <c r="Q45" s="44">
        <f t="shared" si="3"/>
        <v>42086.870620000002</v>
      </c>
    </row>
    <row r="46" spans="1:17" s="19" customFormat="1" ht="12.95" customHeight="1">
      <c r="A46" s="52" t="s">
        <v>83</v>
      </c>
      <c r="B46" s="53" t="s">
        <v>44</v>
      </c>
      <c r="C46" s="54">
        <v>57105.374069999998</v>
      </c>
      <c r="D46" s="54">
        <v>5.9999999999999995E-4</v>
      </c>
      <c r="E46" s="19">
        <f t="shared" si="0"/>
        <v>5621.9631404045367</v>
      </c>
      <c r="F46" s="19">
        <f t="shared" si="1"/>
        <v>5622</v>
      </c>
      <c r="G46" s="19">
        <f t="shared" si="4"/>
        <v>-1.7033240001183003E-2</v>
      </c>
      <c r="K46" s="19">
        <f t="shared" si="5"/>
        <v>-1.7033240001183003E-2</v>
      </c>
      <c r="O46" s="19">
        <f t="shared" ca="1" si="2"/>
        <v>-1.8168402911256362E-2</v>
      </c>
      <c r="Q46" s="44">
        <f t="shared" si="3"/>
        <v>42086.874069999998</v>
      </c>
    </row>
    <row r="47" spans="1:17" s="19" customFormat="1" ht="12.95" customHeight="1">
      <c r="A47" s="52" t="s">
        <v>83</v>
      </c>
      <c r="B47" s="53" t="s">
        <v>44</v>
      </c>
      <c r="C47" s="54">
        <v>57106.294699999999</v>
      </c>
      <c r="D47" s="54">
        <v>8.0000000000000004E-4</v>
      </c>
      <c r="E47" s="19">
        <f t="shared" si="0"/>
        <v>5623.9553655696291</v>
      </c>
      <c r="F47" s="19">
        <f t="shared" si="1"/>
        <v>5624</v>
      </c>
      <c r="G47" s="19">
        <f t="shared" si="4"/>
        <v>-2.0626079996873159E-2</v>
      </c>
      <c r="K47" s="19">
        <f t="shared" si="5"/>
        <v>-2.0626079996873159E-2</v>
      </c>
      <c r="O47" s="19">
        <f t="shared" ca="1" si="2"/>
        <v>-1.8188328921987698E-2</v>
      </c>
      <c r="Q47" s="44">
        <f t="shared" si="3"/>
        <v>42087.794699999999</v>
      </c>
    </row>
    <row r="48" spans="1:17" s="19" customFormat="1" ht="12.95" customHeight="1">
      <c r="A48" s="52" t="s">
        <v>83</v>
      </c>
      <c r="B48" s="53" t="s">
        <v>44</v>
      </c>
      <c r="C48" s="54">
        <v>57106.295129999999</v>
      </c>
      <c r="D48" s="54">
        <v>3.0999999999999999E-3</v>
      </c>
      <c r="E48" s="19">
        <f t="shared" si="0"/>
        <v>5623.956296081149</v>
      </c>
      <c r="F48" s="19">
        <f t="shared" si="1"/>
        <v>5624</v>
      </c>
      <c r="G48" s="19">
        <f t="shared" si="4"/>
        <v>-2.0196079996821936E-2</v>
      </c>
      <c r="K48" s="19">
        <f t="shared" si="5"/>
        <v>-2.0196079996821936E-2</v>
      </c>
      <c r="O48" s="19">
        <f t="shared" ca="1" si="2"/>
        <v>-1.8188328921987698E-2</v>
      </c>
      <c r="Q48" s="44">
        <f t="shared" si="3"/>
        <v>42087.795129999999</v>
      </c>
    </row>
    <row r="49" spans="1:17" s="19" customFormat="1" ht="12.95" customHeight="1">
      <c r="A49" s="55" t="s">
        <v>0</v>
      </c>
      <c r="B49" s="56" t="s">
        <v>44</v>
      </c>
      <c r="C49" s="57">
        <v>57384.481599999999</v>
      </c>
      <c r="D49" s="57">
        <v>3.8E-3</v>
      </c>
      <c r="E49" s="19">
        <f t="shared" si="0"/>
        <v>6225.9463312981979</v>
      </c>
      <c r="F49" s="19">
        <f t="shared" si="1"/>
        <v>6226</v>
      </c>
      <c r="G49" s="19">
        <f t="shared" si="4"/>
        <v>-2.4800920000416227E-2</v>
      </c>
      <c r="K49" s="19">
        <f t="shared" si="5"/>
        <v>-2.4800920000416227E-2</v>
      </c>
      <c r="O49" s="19">
        <f t="shared" ca="1" si="2"/>
        <v>-2.4186058152118564E-2</v>
      </c>
      <c r="Q49" s="44">
        <f t="shared" si="3"/>
        <v>42365.981599999999</v>
      </c>
    </row>
    <row r="50" spans="1:17" s="19" customFormat="1" ht="12.95" customHeight="1">
      <c r="A50" s="58" t="s">
        <v>85</v>
      </c>
      <c r="B50" s="59" t="s">
        <v>44</v>
      </c>
      <c r="C50" s="60">
        <v>57777.270169999916</v>
      </c>
      <c r="D50" s="60">
        <v>5.9999999999999995E-4</v>
      </c>
      <c r="E50" s="19">
        <f t="shared" si="0"/>
        <v>7075.933050951041</v>
      </c>
      <c r="F50" s="19">
        <f t="shared" si="1"/>
        <v>7076</v>
      </c>
      <c r="G50" s="19">
        <f t="shared" si="4"/>
        <v>-3.0937920084397774E-2</v>
      </c>
      <c r="K50" s="19">
        <f t="shared" si="5"/>
        <v>-3.0937920084397774E-2</v>
      </c>
      <c r="O50" s="19">
        <f t="shared" ca="1" si="2"/>
        <v>-3.2654612712934572E-2</v>
      </c>
      <c r="Q50" s="44">
        <f t="shared" si="3"/>
        <v>42758.770169999916</v>
      </c>
    </row>
    <row r="51" spans="1:17" s="19" customFormat="1" ht="12.95" customHeight="1">
      <c r="A51" s="58" t="s">
        <v>85</v>
      </c>
      <c r="B51" s="59" t="s">
        <v>48</v>
      </c>
      <c r="C51" s="60">
        <v>57780.279389999807</v>
      </c>
      <c r="D51" s="60">
        <v>8.0000000000000004E-4</v>
      </c>
      <c r="E51" s="19">
        <f t="shared" si="0"/>
        <v>7082.4449436887071</v>
      </c>
      <c r="F51" s="19">
        <f t="shared" si="1"/>
        <v>7082.5</v>
      </c>
      <c r="G51" s="19">
        <f t="shared" si="4"/>
        <v>-2.5442150188609958E-2</v>
      </c>
      <c r="K51" s="19">
        <f t="shared" si="5"/>
        <v>-2.5442150188609958E-2</v>
      </c>
      <c r="O51" s="19">
        <f t="shared" ca="1" si="2"/>
        <v>-3.2719372247811407E-2</v>
      </c>
      <c r="Q51" s="44">
        <f t="shared" si="3"/>
        <v>42761.779389999807</v>
      </c>
    </row>
    <row r="52" spans="1:17" s="19" customFormat="1" ht="12.95" customHeight="1">
      <c r="A52" s="58" t="s">
        <v>85</v>
      </c>
      <c r="B52" s="59" t="s">
        <v>44</v>
      </c>
      <c r="C52" s="60">
        <v>57780.504259999841</v>
      </c>
      <c r="D52" s="60">
        <v>6.9999999999999999E-4</v>
      </c>
      <c r="E52" s="19">
        <f t="shared" si="0"/>
        <v>7082.9315579343247</v>
      </c>
      <c r="F52" s="19">
        <f t="shared" si="1"/>
        <v>7083</v>
      </c>
      <c r="G52" s="19">
        <f t="shared" si="4"/>
        <v>-3.1627860153093934E-2</v>
      </c>
      <c r="K52" s="19">
        <f t="shared" si="5"/>
        <v>-3.1627860153093934E-2</v>
      </c>
      <c r="O52" s="19">
        <f t="shared" ca="1" si="2"/>
        <v>-3.2724353750494234E-2</v>
      </c>
      <c r="Q52" s="44">
        <f t="shared" si="3"/>
        <v>42762.004259999841</v>
      </c>
    </row>
    <row r="53" spans="1:17" s="19" customFormat="1" ht="12.95" customHeight="1">
      <c r="A53" s="58" t="s">
        <v>85</v>
      </c>
      <c r="B53" s="59" t="s">
        <v>44</v>
      </c>
      <c r="C53" s="60">
        <v>57781.419819999952</v>
      </c>
      <c r="D53" s="60">
        <v>5.9999999999999995E-4</v>
      </c>
      <c r="E53" s="19">
        <f t="shared" si="0"/>
        <v>7084.912811719636</v>
      </c>
      <c r="F53" s="19">
        <f t="shared" si="1"/>
        <v>7085</v>
      </c>
      <c r="G53" s="19">
        <f t="shared" si="4"/>
        <v>-4.0290700046170969E-2</v>
      </c>
      <c r="K53" s="19">
        <f t="shared" si="5"/>
        <v>-4.0290700046170969E-2</v>
      </c>
      <c r="O53" s="19">
        <f t="shared" ca="1" si="2"/>
        <v>-3.274427976122557E-2</v>
      </c>
      <c r="Q53" s="44">
        <f t="shared" si="3"/>
        <v>42762.919819999952</v>
      </c>
    </row>
    <row r="54" spans="1:17" s="19" customFormat="1" ht="12.95" customHeight="1">
      <c r="A54" s="61" t="s">
        <v>84</v>
      </c>
      <c r="C54" s="26">
        <v>59184.829599999997</v>
      </c>
      <c r="D54" s="26">
        <v>6.9999999999999999E-4</v>
      </c>
      <c r="E54" s="19">
        <f t="shared" si="0"/>
        <v>10121.863900268898</v>
      </c>
      <c r="F54" s="19">
        <f t="shared" si="1"/>
        <v>10122</v>
      </c>
      <c r="G54" s="19">
        <f t="shared" si="4"/>
        <v>-6.2893239999539219E-2</v>
      </c>
      <c r="K54" s="19">
        <f t="shared" si="5"/>
        <v>-6.2893239999539219E-2</v>
      </c>
      <c r="O54" s="19">
        <f t="shared" ca="1" si="2"/>
        <v>-6.3001927056752893E-2</v>
      </c>
      <c r="Q54" s="44">
        <f t="shared" si="3"/>
        <v>44166.329599999997</v>
      </c>
    </row>
    <row r="55" spans="1:17" s="19" customFormat="1" ht="12.95" customHeight="1">
      <c r="A55" s="61" t="s">
        <v>86</v>
      </c>
      <c r="C55" s="26">
        <v>59583.851999999999</v>
      </c>
      <c r="D55" s="26">
        <v>2E-3</v>
      </c>
      <c r="E55" s="19">
        <f t="shared" si="0"/>
        <v>10985.34050511022</v>
      </c>
      <c r="F55" s="19">
        <f t="shared" si="1"/>
        <v>10985.5</v>
      </c>
      <c r="G55" s="19">
        <f t="shared" si="4"/>
        <v>-7.3704410002392251E-2</v>
      </c>
      <c r="K55" s="19">
        <f t="shared" si="5"/>
        <v>-7.3704410002392251E-2</v>
      </c>
      <c r="O55" s="19">
        <f t="shared" ca="1" si="2"/>
        <v>-7.1604982190005398E-2</v>
      </c>
      <c r="Q55" s="44">
        <f t="shared" si="3"/>
        <v>44565.351999999999</v>
      </c>
    </row>
    <row r="56" spans="1:17" s="19" customFormat="1" ht="12.95" customHeight="1">
      <c r="A56" s="62" t="s">
        <v>87</v>
      </c>
      <c r="B56" s="63" t="s">
        <v>48</v>
      </c>
      <c r="C56" s="64">
        <v>59260.3871</v>
      </c>
      <c r="D56" s="64">
        <v>4.0000000000000002E-4</v>
      </c>
      <c r="E56" s="19">
        <f>+(C56-C$7)/C$8</f>
        <v>10285.368840268007</v>
      </c>
      <c r="F56" s="19">
        <f t="shared" si="1"/>
        <v>10285.5</v>
      </c>
      <c r="G56" s="19">
        <f>+C56-(C$7+F56*C$8)</f>
        <v>-6.0610410000663251E-2</v>
      </c>
      <c r="K56" s="19">
        <f>+G56</f>
        <v>-6.0610410000663251E-2</v>
      </c>
      <c r="O56" s="19">
        <f ca="1">+C$11+C$12*$F56</f>
        <v>-6.4630878434039266E-2</v>
      </c>
      <c r="Q56" s="44">
        <f>+C56-15018.5</f>
        <v>44241.8871</v>
      </c>
    </row>
    <row r="57" spans="1:17" s="19" customFormat="1" ht="12.95" customHeight="1">
      <c r="A57" s="18" t="s">
        <v>88</v>
      </c>
      <c r="B57" s="65" t="s">
        <v>48</v>
      </c>
      <c r="C57" s="66">
        <v>59583.851999999999</v>
      </c>
      <c r="D57" s="67">
        <v>2E-3</v>
      </c>
      <c r="E57" s="19">
        <f>+(C57-C$7)/C$8</f>
        <v>10985.34050511022</v>
      </c>
      <c r="F57" s="19">
        <f t="shared" ref="F57" si="6">ROUND(2*E57,0)/2</f>
        <v>10985.5</v>
      </c>
      <c r="G57" s="19">
        <f>+C57-(C$7+F57*C$8)</f>
        <v>-7.3704410002392251E-2</v>
      </c>
      <c r="K57" s="19">
        <f>+G57</f>
        <v>-7.3704410002392251E-2</v>
      </c>
      <c r="O57" s="19">
        <f ca="1">+C$11+C$12*$F57</f>
        <v>-7.1604982190005398E-2</v>
      </c>
      <c r="Q57" s="44">
        <f>+C57-15018.5</f>
        <v>44565.351999999999</v>
      </c>
    </row>
    <row r="58" spans="1:17" s="19" customFormat="1" ht="12.95" customHeight="1">
      <c r="C58" s="26"/>
      <c r="D58" s="26"/>
    </row>
    <row r="59" spans="1:17" s="19" customFormat="1" ht="12.95" customHeight="1">
      <c r="C59" s="26"/>
      <c r="D59" s="26"/>
    </row>
    <row r="60" spans="1:17" s="19" customFormat="1" ht="12.95" customHeight="1">
      <c r="C60" s="26"/>
      <c r="D60" s="26"/>
    </row>
    <row r="61" spans="1:17" s="19" customFormat="1" ht="12.95" customHeight="1">
      <c r="C61" s="26"/>
      <c r="D61" s="26"/>
    </row>
    <row r="62" spans="1:17" s="19" customFormat="1" ht="12.95" customHeight="1">
      <c r="C62" s="26"/>
      <c r="D62" s="26"/>
    </row>
    <row r="63" spans="1:17" s="19" customFormat="1" ht="12.95" customHeight="1">
      <c r="C63" s="26"/>
      <c r="D63" s="26"/>
    </row>
    <row r="64" spans="1:17" s="19" customFormat="1" ht="12.95" customHeight="1">
      <c r="C64" s="26"/>
      <c r="D64" s="26"/>
    </row>
    <row r="65" spans="3:4" s="19" customFormat="1" ht="12.95" customHeight="1">
      <c r="C65" s="26"/>
      <c r="D65" s="26"/>
    </row>
    <row r="66" spans="3:4" s="19" customFormat="1" ht="12.95" customHeight="1">
      <c r="C66" s="26"/>
      <c r="D66" s="26"/>
    </row>
    <row r="67" spans="3:4" s="19" customFormat="1" ht="12.95" customHeight="1">
      <c r="C67" s="26"/>
      <c r="D67" s="26"/>
    </row>
    <row r="68" spans="3:4" s="19" customFormat="1" ht="12.95" customHeight="1">
      <c r="C68" s="26"/>
      <c r="D68" s="26"/>
    </row>
    <row r="69" spans="3:4" s="19" customFormat="1" ht="12.95" customHeight="1">
      <c r="C69" s="26"/>
      <c r="D69" s="26"/>
    </row>
    <row r="70" spans="3:4" s="19" customFormat="1" ht="12.95" customHeight="1">
      <c r="C70" s="26"/>
      <c r="D70" s="26"/>
    </row>
    <row r="71" spans="3:4" s="19" customFormat="1" ht="12.95" customHeight="1">
      <c r="C71" s="26"/>
      <c r="D71" s="26"/>
    </row>
    <row r="72" spans="3:4" s="19" customFormat="1" ht="12.95" customHeight="1">
      <c r="C72" s="26"/>
      <c r="D72" s="26"/>
    </row>
    <row r="73" spans="3:4" s="19" customFormat="1" ht="12.95" customHeight="1">
      <c r="C73" s="26"/>
      <c r="D73" s="26"/>
    </row>
    <row r="74" spans="3:4" s="19" customFormat="1" ht="12.95" customHeight="1">
      <c r="C74" s="26"/>
      <c r="D74" s="26"/>
    </row>
    <row r="75" spans="3:4" s="19" customFormat="1" ht="12.95" customHeight="1">
      <c r="C75" s="26"/>
      <c r="D75" s="26"/>
    </row>
    <row r="76" spans="3:4" s="19" customFormat="1" ht="12.95" customHeight="1">
      <c r="C76" s="26"/>
      <c r="D76" s="26"/>
    </row>
    <row r="77" spans="3:4" s="19" customFormat="1" ht="12.95" customHeight="1">
      <c r="C77" s="26"/>
      <c r="D77" s="26"/>
    </row>
    <row r="78" spans="3:4" s="19" customFormat="1" ht="12.95" customHeight="1">
      <c r="C78" s="26"/>
      <c r="D78" s="26"/>
    </row>
    <row r="79" spans="3:4" s="19" customFormat="1" ht="12.95" customHeight="1">
      <c r="C79" s="26"/>
      <c r="D79" s="26"/>
    </row>
    <row r="80" spans="3:4" s="19" customFormat="1" ht="12.95" customHeight="1">
      <c r="C80" s="26"/>
      <c r="D80" s="26"/>
    </row>
    <row r="81" spans="3:4" s="19" customFormat="1" ht="12.95" customHeight="1">
      <c r="C81" s="26"/>
      <c r="D81" s="26"/>
    </row>
    <row r="82" spans="3:4" s="19" customFormat="1" ht="12.95" customHeight="1">
      <c r="C82" s="26"/>
      <c r="D82" s="26"/>
    </row>
    <row r="83" spans="3:4" s="19" customFormat="1" ht="12.95" customHeight="1">
      <c r="C83" s="26"/>
      <c r="D83" s="26"/>
    </row>
    <row r="84" spans="3:4" s="19" customFormat="1" ht="12.95" customHeight="1">
      <c r="C84" s="26"/>
      <c r="D84" s="26"/>
    </row>
    <row r="85" spans="3:4" s="19" customFormat="1" ht="12.95" customHeight="1">
      <c r="C85" s="26"/>
      <c r="D85" s="26"/>
    </row>
    <row r="86" spans="3:4" s="19" customFormat="1" ht="12.95" customHeight="1">
      <c r="C86" s="26"/>
      <c r="D86" s="26"/>
    </row>
    <row r="87" spans="3:4" s="19" customFormat="1" ht="12.95" customHeight="1">
      <c r="C87" s="26"/>
      <c r="D87" s="26"/>
    </row>
    <row r="88" spans="3:4" s="19" customFormat="1" ht="12.95" customHeight="1">
      <c r="C88" s="26"/>
      <c r="D88" s="26"/>
    </row>
    <row r="89" spans="3:4" s="19" customFormat="1" ht="12.95" customHeight="1">
      <c r="C89" s="26"/>
      <c r="D89" s="26"/>
    </row>
    <row r="90" spans="3:4" s="19" customFormat="1" ht="12.95" customHeight="1">
      <c r="C90" s="26"/>
      <c r="D90" s="26"/>
    </row>
    <row r="91" spans="3:4" s="19" customFormat="1" ht="12.95" customHeight="1">
      <c r="C91" s="26"/>
      <c r="D91" s="26"/>
    </row>
    <row r="92" spans="3:4" s="19" customFormat="1" ht="12.95" customHeight="1">
      <c r="C92" s="26"/>
      <c r="D92" s="26"/>
    </row>
    <row r="93" spans="3:4" s="19" customFormat="1" ht="12.95" customHeight="1">
      <c r="C93" s="26"/>
      <c r="D93" s="26"/>
    </row>
    <row r="94" spans="3:4" s="19" customFormat="1" ht="12.95" customHeight="1">
      <c r="C94" s="26"/>
      <c r="D94" s="26"/>
    </row>
    <row r="95" spans="3:4" s="19" customFormat="1" ht="12.95" customHeight="1">
      <c r="C95" s="26"/>
      <c r="D95" s="26"/>
    </row>
    <row r="96" spans="3:4" s="19" customFormat="1" ht="12.95" customHeight="1">
      <c r="C96" s="26"/>
      <c r="D96" s="26"/>
    </row>
    <row r="97" spans="3:4" s="19" customFormat="1" ht="12.95" customHeight="1">
      <c r="C97" s="26"/>
      <c r="D97" s="26"/>
    </row>
    <row r="98" spans="3:4" s="19" customFormat="1" ht="12.95" customHeight="1">
      <c r="C98" s="26"/>
      <c r="D98" s="26"/>
    </row>
    <row r="99" spans="3:4" s="19" customFormat="1" ht="12.95" customHeight="1">
      <c r="C99" s="26"/>
      <c r="D99" s="26"/>
    </row>
    <row r="100" spans="3:4" s="19" customFormat="1" ht="12.95" customHeight="1">
      <c r="C100" s="26"/>
      <c r="D100" s="26"/>
    </row>
    <row r="101" spans="3:4" s="19" customFormat="1" ht="12.95" customHeight="1">
      <c r="C101" s="26"/>
      <c r="D101" s="26"/>
    </row>
    <row r="102" spans="3:4" s="19" customFormat="1" ht="12.95" customHeight="1">
      <c r="C102" s="26"/>
      <c r="D102" s="26"/>
    </row>
    <row r="103" spans="3:4" s="19" customFormat="1" ht="12.95" customHeight="1">
      <c r="C103" s="26"/>
      <c r="D103" s="26"/>
    </row>
    <row r="104" spans="3:4" s="19" customFormat="1" ht="12.95" customHeight="1">
      <c r="C104" s="26"/>
      <c r="D104" s="26"/>
    </row>
    <row r="105" spans="3:4" s="19" customFormat="1" ht="12.95" customHeight="1">
      <c r="C105" s="26"/>
      <c r="D105" s="26"/>
    </row>
    <row r="106" spans="3:4" s="19" customFormat="1" ht="12.95" customHeight="1">
      <c r="C106" s="26"/>
      <c r="D106" s="26"/>
    </row>
    <row r="107" spans="3:4" s="19" customFormat="1" ht="12.95" customHeight="1">
      <c r="C107" s="26"/>
      <c r="D107" s="26"/>
    </row>
    <row r="108" spans="3:4" s="19" customFormat="1" ht="12.95" customHeight="1">
      <c r="C108" s="26"/>
      <c r="D108" s="26"/>
    </row>
    <row r="109" spans="3:4" s="19" customFormat="1" ht="12.95" customHeight="1">
      <c r="C109" s="26"/>
      <c r="D109" s="26"/>
    </row>
    <row r="110" spans="3:4" s="19" customFormat="1" ht="12.95" customHeight="1">
      <c r="C110" s="26"/>
      <c r="D110" s="26"/>
    </row>
    <row r="111" spans="3:4" s="19" customFormat="1" ht="12.95" customHeight="1">
      <c r="C111" s="26"/>
      <c r="D111" s="26"/>
    </row>
    <row r="112" spans="3:4" s="19" customFormat="1" ht="12.95" customHeight="1">
      <c r="C112" s="26"/>
      <c r="D112" s="26"/>
    </row>
    <row r="113" spans="3:4" s="19" customFormat="1" ht="12.95" customHeight="1">
      <c r="C113" s="26"/>
      <c r="D113" s="26"/>
    </row>
    <row r="114" spans="3:4" s="19" customFormat="1" ht="12.95" customHeight="1">
      <c r="C114" s="26"/>
      <c r="D114" s="26"/>
    </row>
    <row r="115" spans="3:4" s="19" customFormat="1" ht="12.95" customHeight="1">
      <c r="C115" s="26"/>
      <c r="D115" s="26"/>
    </row>
    <row r="116" spans="3:4" s="19" customFormat="1" ht="12.95" customHeight="1">
      <c r="C116" s="26"/>
      <c r="D116" s="26"/>
    </row>
    <row r="117" spans="3:4" s="19" customFormat="1" ht="12.95" customHeight="1">
      <c r="C117" s="26"/>
      <c r="D117" s="26"/>
    </row>
    <row r="118" spans="3:4" s="19" customFormat="1" ht="12.95" customHeight="1">
      <c r="C118" s="26"/>
      <c r="D118" s="26"/>
    </row>
    <row r="119" spans="3:4" s="19" customFormat="1" ht="12.95" customHeight="1">
      <c r="C119" s="26"/>
      <c r="D119" s="26"/>
    </row>
    <row r="120" spans="3:4" s="19" customFormat="1" ht="12.95" customHeight="1">
      <c r="C120" s="26"/>
      <c r="D120" s="26"/>
    </row>
    <row r="121" spans="3:4" s="19" customFormat="1" ht="12.95" customHeight="1">
      <c r="C121" s="26"/>
      <c r="D121" s="26"/>
    </row>
    <row r="122" spans="3:4" s="19" customFormat="1" ht="12.95" customHeight="1">
      <c r="C122" s="26"/>
      <c r="D122" s="26"/>
    </row>
    <row r="123" spans="3:4" s="19" customFormat="1" ht="12.95" customHeight="1">
      <c r="C123" s="26"/>
      <c r="D123" s="26"/>
    </row>
    <row r="124" spans="3:4" s="19" customFormat="1" ht="12.95" customHeight="1">
      <c r="C124" s="26"/>
      <c r="D124" s="26"/>
    </row>
    <row r="125" spans="3:4" s="19" customFormat="1" ht="12.95" customHeight="1">
      <c r="C125" s="26"/>
      <c r="D125" s="26"/>
    </row>
    <row r="126" spans="3:4" s="19" customFormat="1" ht="12.95" customHeight="1">
      <c r="C126" s="26"/>
      <c r="D126" s="26"/>
    </row>
    <row r="127" spans="3:4" s="19" customFormat="1" ht="12.95" customHeight="1">
      <c r="C127" s="26"/>
      <c r="D127" s="26"/>
    </row>
    <row r="128" spans="3:4" s="19" customFormat="1" ht="12.95" customHeight="1">
      <c r="C128" s="26"/>
      <c r="D128" s="26"/>
    </row>
    <row r="129" spans="3:4" s="19" customFormat="1" ht="12.95" customHeight="1">
      <c r="C129" s="26"/>
      <c r="D129" s="26"/>
    </row>
    <row r="130" spans="3:4" s="19" customFormat="1" ht="12.95" customHeight="1">
      <c r="C130" s="26"/>
      <c r="D130" s="26"/>
    </row>
    <row r="131" spans="3:4" s="19" customFormat="1" ht="12.95" customHeight="1">
      <c r="C131" s="26"/>
      <c r="D131" s="26"/>
    </row>
    <row r="132" spans="3:4" s="19" customFormat="1" ht="12.95" customHeight="1">
      <c r="C132" s="26"/>
      <c r="D132" s="26"/>
    </row>
    <row r="133" spans="3:4" s="19" customFormat="1" ht="12.95" customHeight="1">
      <c r="C133" s="26"/>
      <c r="D133" s="26"/>
    </row>
    <row r="134" spans="3:4" s="19" customFormat="1" ht="12.95" customHeight="1">
      <c r="C134" s="26"/>
      <c r="D134" s="26"/>
    </row>
    <row r="135" spans="3:4" s="19" customFormat="1" ht="12.95" customHeight="1">
      <c r="C135" s="26"/>
      <c r="D135" s="26"/>
    </row>
    <row r="136" spans="3:4" s="19" customFormat="1" ht="12.95" customHeight="1">
      <c r="C136" s="26"/>
      <c r="D136" s="26"/>
    </row>
    <row r="137" spans="3:4" s="19" customFormat="1" ht="12.95" customHeight="1">
      <c r="C137" s="26"/>
      <c r="D137" s="26"/>
    </row>
    <row r="138" spans="3:4" s="19" customFormat="1" ht="12.95" customHeight="1">
      <c r="C138" s="26"/>
      <c r="D138" s="26"/>
    </row>
    <row r="139" spans="3:4" s="19" customFormat="1" ht="12.95" customHeight="1">
      <c r="C139" s="26"/>
      <c r="D139" s="26"/>
    </row>
    <row r="140" spans="3:4" s="19" customFormat="1" ht="12.95" customHeight="1">
      <c r="C140" s="26"/>
      <c r="D140" s="26"/>
    </row>
    <row r="141" spans="3:4" s="19" customFormat="1" ht="12.95" customHeight="1">
      <c r="C141" s="26"/>
      <c r="D141" s="26"/>
    </row>
    <row r="142" spans="3:4" s="19" customFormat="1" ht="12.95" customHeight="1">
      <c r="C142" s="26"/>
      <c r="D142" s="26"/>
    </row>
    <row r="143" spans="3:4" s="19" customFormat="1" ht="12.95" customHeight="1">
      <c r="C143" s="26"/>
      <c r="D143" s="26"/>
    </row>
    <row r="144" spans="3:4" s="19" customFormat="1" ht="12.95" customHeight="1">
      <c r="C144" s="26"/>
      <c r="D144" s="26"/>
    </row>
    <row r="145" spans="3:4" s="19" customFormat="1" ht="12.95" customHeight="1">
      <c r="C145" s="26"/>
      <c r="D145" s="26"/>
    </row>
    <row r="146" spans="3:4" s="19" customFormat="1" ht="12.95" customHeight="1">
      <c r="C146" s="26"/>
      <c r="D146" s="26"/>
    </row>
    <row r="147" spans="3:4" s="19" customFormat="1" ht="12.95" customHeight="1">
      <c r="C147" s="26"/>
      <c r="D147" s="26"/>
    </row>
    <row r="148" spans="3:4" s="19" customFormat="1" ht="12.95" customHeight="1">
      <c r="C148" s="26"/>
      <c r="D148" s="26"/>
    </row>
    <row r="149" spans="3:4" s="19" customFormat="1" ht="12.95" customHeight="1">
      <c r="C149" s="26"/>
      <c r="D149" s="26"/>
    </row>
    <row r="150" spans="3:4" s="19" customFormat="1" ht="12.95" customHeight="1">
      <c r="C150" s="26"/>
      <c r="D150" s="26"/>
    </row>
    <row r="151" spans="3:4" s="19" customFormat="1" ht="12.95" customHeight="1">
      <c r="C151" s="26"/>
      <c r="D151" s="26"/>
    </row>
    <row r="152" spans="3:4" s="19" customFormat="1" ht="12.95" customHeight="1">
      <c r="C152" s="26"/>
      <c r="D152" s="26"/>
    </row>
    <row r="153" spans="3:4" s="19" customFormat="1" ht="12.95" customHeight="1">
      <c r="C153" s="26"/>
      <c r="D153" s="26"/>
    </row>
    <row r="154" spans="3:4" s="19" customFormat="1" ht="12.95" customHeight="1">
      <c r="C154" s="26"/>
      <c r="D154" s="26"/>
    </row>
    <row r="155" spans="3:4" s="19" customFormat="1" ht="12.95" customHeight="1">
      <c r="C155" s="26"/>
      <c r="D155" s="26"/>
    </row>
    <row r="156" spans="3:4" s="19" customFormat="1" ht="12.95" customHeight="1">
      <c r="C156" s="26"/>
      <c r="D156" s="26"/>
    </row>
    <row r="157" spans="3:4" s="19" customFormat="1" ht="12.95" customHeight="1">
      <c r="C157" s="26"/>
      <c r="D157" s="26"/>
    </row>
    <row r="158" spans="3:4" s="19" customFormat="1" ht="12.95" customHeight="1">
      <c r="C158" s="26"/>
      <c r="D158" s="26"/>
    </row>
    <row r="159" spans="3:4" s="19" customFormat="1" ht="12.95" customHeight="1">
      <c r="C159" s="26"/>
      <c r="D159" s="26"/>
    </row>
    <row r="160" spans="3:4" s="19" customFormat="1" ht="12.95" customHeight="1">
      <c r="C160" s="26"/>
      <c r="D160" s="26"/>
    </row>
    <row r="161" spans="3:4" s="19" customFormat="1" ht="12.95" customHeight="1">
      <c r="C161" s="26"/>
      <c r="D161" s="26"/>
    </row>
    <row r="162" spans="3:4" s="19" customFormat="1" ht="12.95" customHeight="1">
      <c r="C162" s="26"/>
      <c r="D162" s="26"/>
    </row>
    <row r="163" spans="3:4" s="19" customFormat="1" ht="12.95" customHeight="1">
      <c r="C163" s="26"/>
      <c r="D163" s="26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protectedRanges>
    <protectedRange sqref="A51:D54 A55" name="Range1"/>
  </protectedRanges>
  <phoneticPr fontId="8" type="noConversion"/>
  <hyperlinks>
    <hyperlink ref="H301" r:id="rId1" display="http://vsolj.cetus-net.org/bulletin.html" xr:uid="{00000000-0004-0000-0000-000000000000}"/>
    <hyperlink ref="H294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1"/>
  <sheetViews>
    <sheetView workbookViewId="0">
      <selection activeCell="A11" sqref="A11:IV448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5" t="s">
        <v>51</v>
      </c>
      <c r="I1" s="6" t="s">
        <v>52</v>
      </c>
      <c r="J1" s="7" t="s">
        <v>53</v>
      </c>
    </row>
    <row r="2" spans="1:16">
      <c r="I2" s="8" t="s">
        <v>54</v>
      </c>
      <c r="J2" s="9" t="s">
        <v>55</v>
      </c>
    </row>
    <row r="3" spans="1:16">
      <c r="A3" s="10" t="s">
        <v>56</v>
      </c>
      <c r="I3" s="8" t="s">
        <v>57</v>
      </c>
      <c r="J3" s="9" t="s">
        <v>58</v>
      </c>
    </row>
    <row r="4" spans="1:16">
      <c r="I4" s="8" t="s">
        <v>59</v>
      </c>
      <c r="J4" s="9" t="s">
        <v>58</v>
      </c>
    </row>
    <row r="5" spans="1:16" ht="13.5" thickBot="1">
      <c r="I5" s="11" t="s">
        <v>60</v>
      </c>
      <c r="J5" s="12" t="s">
        <v>61</v>
      </c>
    </row>
    <row r="10" spans="1:16" ht="13.5" thickBot="1"/>
    <row r="11" spans="1:16" ht="12.75" customHeight="1" thickBot="1">
      <c r="A11" s="3" t="str">
        <f>P11</f>
        <v>BAVM 228 </v>
      </c>
      <c r="B11" s="2" t="str">
        <f>IF(H11=INT(H11),"I","II")</f>
        <v>I</v>
      </c>
      <c r="C11" s="3">
        <f>1*G11</f>
        <v>54910.359700000001</v>
      </c>
      <c r="D11" s="4" t="str">
        <f>VLOOKUP(F11,I$1:J$5,2,FALSE)</f>
        <v>vis</v>
      </c>
      <c r="E11" s="13">
        <f>VLOOKUP(C11,Active!C$21:E$973,3,FALSE)</f>
        <v>871.99532961120622</v>
      </c>
      <c r="F11" s="2" t="s">
        <v>60</v>
      </c>
      <c r="G11" s="4" t="str">
        <f>MID(I11,3,LEN(I11)-3)</f>
        <v>54910.3597</v>
      </c>
      <c r="H11" s="3">
        <f>1*K11</f>
        <v>872</v>
      </c>
      <c r="I11" s="14" t="s">
        <v>62</v>
      </c>
      <c r="J11" s="15" t="s">
        <v>63</v>
      </c>
      <c r="K11" s="14">
        <v>872</v>
      </c>
      <c r="L11" s="14" t="s">
        <v>64</v>
      </c>
      <c r="M11" s="15" t="s">
        <v>65</v>
      </c>
      <c r="N11" s="15" t="s">
        <v>66</v>
      </c>
      <c r="O11" s="16" t="s">
        <v>67</v>
      </c>
      <c r="P11" s="17" t="s">
        <v>68</v>
      </c>
    </row>
    <row r="12" spans="1:16" ht="12.75" customHeight="1" thickBot="1">
      <c r="A12" s="3" t="str">
        <f>P12</f>
        <v>BAVM 231 </v>
      </c>
      <c r="B12" s="2" t="str">
        <f>IF(H12=INT(H12),"I","II")</f>
        <v>I</v>
      </c>
      <c r="C12" s="3">
        <f>1*G12</f>
        <v>56001.393799999998</v>
      </c>
      <c r="D12" s="4" t="str">
        <f>VLOOKUP(F12,I$1:J$5,2,FALSE)</f>
        <v>vis</v>
      </c>
      <c r="E12" s="13">
        <f>VLOOKUP(C12,Active!C$21:E$973,3,FALSE)</f>
        <v>3232.9716067177037</v>
      </c>
      <c r="F12" s="2" t="s">
        <v>60</v>
      </c>
      <c r="G12" s="4" t="str">
        <f>MID(I12,3,LEN(I12)-3)</f>
        <v>56001.3938</v>
      </c>
      <c r="H12" s="3">
        <f>1*K12</f>
        <v>3233</v>
      </c>
      <c r="I12" s="14" t="s">
        <v>69</v>
      </c>
      <c r="J12" s="15" t="s">
        <v>70</v>
      </c>
      <c r="K12" s="14">
        <v>3233</v>
      </c>
      <c r="L12" s="14" t="s">
        <v>71</v>
      </c>
      <c r="M12" s="15" t="s">
        <v>65</v>
      </c>
      <c r="N12" s="15" t="s">
        <v>72</v>
      </c>
      <c r="O12" s="16" t="s">
        <v>73</v>
      </c>
      <c r="P12" s="17" t="s">
        <v>74</v>
      </c>
    </row>
    <row r="13" spans="1:16" ht="12.75" customHeight="1" thickBot="1">
      <c r="A13" s="3" t="str">
        <f>P13</f>
        <v>BAVM 231 </v>
      </c>
      <c r="B13" s="2" t="str">
        <f>IF(H13=INT(H13),"I","II")</f>
        <v>I</v>
      </c>
      <c r="C13" s="3">
        <f>1*G13</f>
        <v>56002.328800000003</v>
      </c>
      <c r="D13" s="4" t="str">
        <f>VLOOKUP(F13,I$1:J$5,2,FALSE)</f>
        <v>vis</v>
      </c>
      <c r="E13" s="13">
        <f>VLOOKUP(C13,Active!C$21:E$973,3,FALSE)</f>
        <v>3234.9949282794282</v>
      </c>
      <c r="F13" s="2" t="s">
        <v>60</v>
      </c>
      <c r="G13" s="4" t="str">
        <f>MID(I13,3,LEN(I13)-3)</f>
        <v>56002.3288</v>
      </c>
      <c r="H13" s="3">
        <f>1*K13</f>
        <v>3235</v>
      </c>
      <c r="I13" s="14" t="s">
        <v>75</v>
      </c>
      <c r="J13" s="15" t="s">
        <v>76</v>
      </c>
      <c r="K13" s="14">
        <v>3235</v>
      </c>
      <c r="L13" s="14" t="s">
        <v>77</v>
      </c>
      <c r="M13" s="15" t="s">
        <v>65</v>
      </c>
      <c r="N13" s="15" t="s">
        <v>60</v>
      </c>
      <c r="O13" s="16" t="s">
        <v>73</v>
      </c>
      <c r="P13" s="17" t="s">
        <v>74</v>
      </c>
    </row>
    <row r="14" spans="1:16" ht="12.75" customHeight="1" thickBot="1">
      <c r="A14" s="3" t="str">
        <f>P14</f>
        <v>IBVS 6131 </v>
      </c>
      <c r="B14" s="2" t="str">
        <f>IF(H14=INT(H14),"I","II")</f>
        <v>I</v>
      </c>
      <c r="C14" s="3">
        <f>1*G14</f>
        <v>56693.636500000001</v>
      </c>
      <c r="D14" s="4" t="str">
        <f>VLOOKUP(F14,I$1:J$5,2,FALSE)</f>
        <v>vis</v>
      </c>
      <c r="E14" s="13">
        <f>VLOOKUP(C14,Active!C$21:E$973,3,FALSE)</f>
        <v>4730.9711584275547</v>
      </c>
      <c r="F14" s="2" t="s">
        <v>60</v>
      </c>
      <c r="G14" s="4" t="str">
        <f>MID(I14,3,LEN(I14)-3)</f>
        <v>56693.6365</v>
      </c>
      <c r="H14" s="3">
        <f>1*K14</f>
        <v>4731</v>
      </c>
      <c r="I14" s="14" t="s">
        <v>78</v>
      </c>
      <c r="J14" s="15" t="s">
        <v>79</v>
      </c>
      <c r="K14" s="14">
        <v>4731</v>
      </c>
      <c r="L14" s="14" t="s">
        <v>80</v>
      </c>
      <c r="M14" s="15" t="s">
        <v>65</v>
      </c>
      <c r="N14" s="15" t="s">
        <v>52</v>
      </c>
      <c r="O14" s="16" t="s">
        <v>81</v>
      </c>
      <c r="P14" s="17" t="s">
        <v>82</v>
      </c>
    </row>
    <row r="15" spans="1:16">
      <c r="B15" s="2"/>
      <c r="E15" s="13"/>
      <c r="F15" s="2"/>
    </row>
    <row r="16" spans="1:16">
      <c r="B16" s="2"/>
      <c r="E16" s="13"/>
      <c r="F16" s="2"/>
    </row>
    <row r="17" spans="2:6">
      <c r="B17" s="2"/>
      <c r="E17" s="13"/>
      <c r="F17" s="2"/>
    </row>
    <row r="18" spans="2:6">
      <c r="B18" s="2"/>
      <c r="E18" s="13"/>
      <c r="F18" s="2"/>
    </row>
    <row r="19" spans="2:6">
      <c r="B19" s="2"/>
      <c r="E19" s="13"/>
      <c r="F19" s="2"/>
    </row>
    <row r="20" spans="2:6">
      <c r="B20" s="2"/>
      <c r="E20" s="13"/>
      <c r="F20" s="2"/>
    </row>
    <row r="21" spans="2:6">
      <c r="B21" s="2"/>
      <c r="E21" s="13"/>
      <c r="F21" s="2"/>
    </row>
    <row r="22" spans="2:6">
      <c r="B22" s="2"/>
      <c r="E22" s="13"/>
      <c r="F22" s="2"/>
    </row>
    <row r="23" spans="2:6">
      <c r="B23" s="2"/>
      <c r="E23" s="13"/>
      <c r="F23" s="2"/>
    </row>
    <row r="24" spans="2:6">
      <c r="B24" s="2"/>
      <c r="E24" s="13"/>
      <c r="F24" s="2"/>
    </row>
    <row r="25" spans="2:6">
      <c r="B25" s="2"/>
      <c r="E25" s="13"/>
      <c r="F25" s="2"/>
    </row>
    <row r="26" spans="2:6">
      <c r="B26" s="2"/>
      <c r="E26" s="13"/>
      <c r="F26" s="2"/>
    </row>
    <row r="27" spans="2:6">
      <c r="B27" s="2"/>
      <c r="E27" s="13"/>
      <c r="F27" s="2"/>
    </row>
    <row r="28" spans="2:6">
      <c r="B28" s="2"/>
      <c r="E28" s="13"/>
      <c r="F28" s="2"/>
    </row>
    <row r="29" spans="2:6">
      <c r="B29" s="2"/>
      <c r="E29" s="13"/>
      <c r="F29" s="2"/>
    </row>
    <row r="30" spans="2:6">
      <c r="B30" s="2"/>
      <c r="E30" s="13"/>
      <c r="F30" s="2"/>
    </row>
    <row r="31" spans="2:6">
      <c r="B31" s="2"/>
      <c r="E31" s="13"/>
      <c r="F31" s="2"/>
    </row>
    <row r="32" spans="2:6">
      <c r="B32" s="2"/>
      <c r="E32" s="13"/>
      <c r="F32" s="2"/>
    </row>
    <row r="33" spans="2:6">
      <c r="B33" s="2"/>
      <c r="E33" s="13"/>
      <c r="F33" s="2"/>
    </row>
    <row r="34" spans="2:6">
      <c r="B34" s="2"/>
      <c r="E34" s="13"/>
      <c r="F34" s="2"/>
    </row>
    <row r="35" spans="2:6">
      <c r="B35" s="2"/>
      <c r="E35" s="13"/>
      <c r="F35" s="2"/>
    </row>
    <row r="36" spans="2:6">
      <c r="B36" s="2"/>
      <c r="E36" s="13"/>
      <c r="F36" s="2"/>
    </row>
    <row r="37" spans="2:6">
      <c r="B37" s="2"/>
      <c r="E37" s="13"/>
      <c r="F37" s="2"/>
    </row>
    <row r="38" spans="2:6">
      <c r="B38" s="2"/>
      <c r="E38" s="13"/>
      <c r="F38" s="2"/>
    </row>
    <row r="39" spans="2:6">
      <c r="B39" s="2"/>
      <c r="E39" s="13"/>
      <c r="F39" s="2"/>
    </row>
    <row r="40" spans="2:6">
      <c r="B40" s="2"/>
      <c r="E40" s="13"/>
      <c r="F40" s="2"/>
    </row>
    <row r="41" spans="2:6">
      <c r="B41" s="2"/>
      <c r="E41" s="13"/>
      <c r="F41" s="2"/>
    </row>
    <row r="42" spans="2:6">
      <c r="B42" s="2"/>
      <c r="E42" s="13"/>
      <c r="F42" s="2"/>
    </row>
    <row r="43" spans="2:6">
      <c r="B43" s="2"/>
      <c r="E43" s="13"/>
      <c r="F43" s="2"/>
    </row>
    <row r="44" spans="2:6">
      <c r="B44" s="2"/>
      <c r="F44" s="2"/>
    </row>
    <row r="45" spans="2:6">
      <c r="B45" s="2"/>
      <c r="F45" s="2"/>
    </row>
    <row r="46" spans="2:6">
      <c r="B46" s="2"/>
      <c r="F46" s="2"/>
    </row>
    <row r="47" spans="2:6">
      <c r="B47" s="2"/>
      <c r="F47" s="2"/>
    </row>
    <row r="48" spans="2:6">
      <c r="B48" s="2"/>
      <c r="F48" s="2"/>
    </row>
    <row r="49" spans="2:6">
      <c r="B49" s="2"/>
      <c r="F49" s="2"/>
    </row>
    <row r="50" spans="2:6">
      <c r="B50" s="2"/>
      <c r="F50" s="2"/>
    </row>
    <row r="51" spans="2:6">
      <c r="B51" s="2"/>
      <c r="F51" s="2"/>
    </row>
    <row r="52" spans="2:6">
      <c r="B52" s="2"/>
      <c r="F52" s="2"/>
    </row>
    <row r="53" spans="2:6">
      <c r="B53" s="2"/>
      <c r="F53" s="2"/>
    </row>
    <row r="54" spans="2:6">
      <c r="B54" s="2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</sheetData>
  <phoneticPr fontId="8" type="noConversion"/>
  <hyperlinks>
    <hyperlink ref="P11" r:id="rId1" display="http://www.bav-astro.de/sfs/BAVM_link.php?BAVMnr=228" xr:uid="{00000000-0004-0000-0100-000000000000}"/>
    <hyperlink ref="P12" r:id="rId2" display="http://www.bav-astro.de/sfs/BAVM_link.php?BAVMnr=231" xr:uid="{00000000-0004-0000-0100-000001000000}"/>
    <hyperlink ref="P13" r:id="rId3" display="http://www.bav-astro.de/sfs/BAVM_link.php?BAVMnr=231" xr:uid="{00000000-0004-0000-0100-000002000000}"/>
    <hyperlink ref="P14" r:id="rId4" display="http://www.konkoly.hu/cgi-bin/IBVS?6131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2024-01-03T06:34:16Z</dcterms:modified>
</cp:coreProperties>
</file>