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CF3143F7-7122-4976-8024-5017EB0DF8F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1" i="1" l="1"/>
  <c r="F21" i="1"/>
  <c r="G21" i="1"/>
  <c r="I21" i="1"/>
  <c r="Q21" i="1"/>
  <c r="F11" i="1"/>
  <c r="C22" i="1"/>
  <c r="E22" i="1"/>
  <c r="F22" i="1"/>
  <c r="G22" i="1"/>
  <c r="H22" i="1"/>
  <c r="A22" i="1"/>
  <c r="H20" i="1"/>
  <c r="G11" i="1"/>
  <c r="E14" i="1"/>
  <c r="E15" i="1" s="1"/>
  <c r="C17" i="1"/>
  <c r="Q22" i="1"/>
  <c r="C12" i="1"/>
  <c r="C16" i="1" l="1"/>
  <c r="D18" i="1" s="1"/>
  <c r="C11" i="1"/>
  <c r="O21" i="1" l="1"/>
  <c r="S21" i="1" s="1"/>
  <c r="C15" i="1"/>
  <c r="O22" i="1"/>
  <c r="S22" i="1" s="1"/>
  <c r="S19" i="1" l="1"/>
  <c r="C18" i="1"/>
  <c r="E16" i="1"/>
  <c r="E17" i="1" s="1"/>
</calcChain>
</file>

<file path=xl/sharedStrings.xml><?xml version="1.0" encoding="utf-8"?>
<sst xmlns="http://schemas.openxmlformats.org/spreadsheetml/2006/main" count="55" uniqueCount="51">
  <si>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</si>
  <si>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</si>
  <si>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</si>
  <si>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</si>
  <si>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</si>
  <si>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</si>
  <si>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</si>
  <si>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</si>
  <si>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</si>
  <si>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</si>
  <si>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</si>
  <si>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</si>
  <si>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</si>
  <si>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</si>
  <si>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</si>
  <si>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</si>
  <si>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</si>
  <si>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</si>
  <si>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</si>
  <si>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</si>
  <si>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</si>
  <si>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</si>
  <si>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</si>
  <si>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</si>
  <si>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</si>
  <si>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</si>
  <si>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</si>
  <si>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</si>
  <si>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</si>
  <si>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</si>
  <si>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</si>
  <si>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</si>
  <si>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</si>
  <si>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</si>
  <si>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</si>
  <si>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</si>
  <si>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</si>
  <si>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</si>
  <si>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</si>
  <si>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</si>
  <si>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</si>
  <si>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Constell:</t>
  </si>
  <si>
    <t>G2594-0555</t>
  </si>
  <si>
    <t>GSC 2594-0555</t>
  </si>
  <si>
    <t>G2594-0555_Her.xls</t>
  </si>
  <si>
    <t>EW</t>
  </si>
  <si>
    <t>Her</t>
  </si>
  <si>
    <t>VSX</t>
  </si>
  <si>
    <t>OEJV 0160</t>
  </si>
  <si>
    <t>I</t>
  </si>
  <si>
    <t>OEJV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</si>
</sst>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1" applyNumberFormat="0" applyFont="0" applyFill="0" applyAlignment="0" applyProtection="0"/>
  </cellStyleXfs>
  <cellXfs count="36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5" fillId="0" borderId="0" xfId="0" applyFont="1" applyAlignment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3" xfId="0" applyBorder="1">
      <alignment vertical="top"/>
    </xf>
    <xf numFmtId="0" fontId="0" fillId="0" borderId="4" xfId="0" applyBorder="1">
      <alignment vertical="top"/>
    </xf>
    <xf numFmtId="0" fontId="7" fillId="0" borderId="0" xfId="0" applyFont="1" applyAlignment="1">
      <alignment horizontal="right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13" fillId="0" borderId="2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horizontal="right"/>
    </xf>
    <xf numFmtId="0" fontId="0" fillId="2" borderId="0" xfId="0" applyFill="1">
      <alignment vertical="top"/>
    </xf>
    <xf numFmtId="0" fontId="14" fillId="0" borderId="0" xfId="0" applyFont="1">
      <alignment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GSC 2594-0555 - O-C Diagr.</a:t>
            </a:r>
          </a:p>
        </c:rich>
      </c:tx>
      <c:layout>
        <c:manualLayout>
          <c:xMode val="edge"/>
          <c:yMode val="edge"/>
          <c:x val="0.34135338345864663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586466165413534"/>
          <c:y val="0.14076246334310852"/>
          <c:w val="0.81353383458646622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OEJV 0160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A6A-4AD8-9C18-CD5F16681AAF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OEJV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2.9300000023795292E-3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A6A-4AD8-9C18-CD5F16681AAF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A6A-4AD8-9C18-CD5F16681AAF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A6A-4AD8-9C18-CD5F16681AAF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A6A-4AD8-9C18-CD5F16681AAF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A6A-4AD8-9C18-CD5F16681AAF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1E-4</c:v>
                  </c:pt>
                  <c:pt idx="1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A6A-4AD8-9C18-CD5F16681AAF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2.9300000023795292E-3</c:v>
                </c:pt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A6A-4AD8-9C18-CD5F16681AAF}"/>
            </c:ext>
          </c:extLst>
        </c:ser>
        <c:ser>
          <c:idx val="8"/>
          <c:order val="8"/>
          <c:tx>
            <c:strRef>
              <c:f>Active!$R$20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-213</c:v>
                </c:pt>
                <c:pt idx="1">
                  <c:v>0</c:v>
                </c:pt>
              </c:numCache>
            </c:numRef>
          </c:xVal>
          <c:yVal>
            <c:numRef>
              <c:f>Active!$R$21:$R$999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A6A-4AD8-9C18-CD5F16681A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2485704"/>
        <c:axId val="1"/>
      </c:scatterChart>
      <c:valAx>
        <c:axId val="502485704"/>
        <c:scaling>
          <c:orientation val="minMax"/>
          <c:max val="2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233082706766921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5.000000000000001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4857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496240601503761"/>
          <c:y val="0.92375366568914952"/>
          <c:w val="0.78646616541353387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</xdr:colOff>
      <xdr:row>0</xdr:row>
      <xdr:rowOff>0</xdr:rowOff>
    </xdr:from>
    <xdr:to>
      <xdr:col>16</xdr:col>
      <xdr:colOff>190500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FE41AC6E-8E35-1863-FCBC-54566DBBCC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6940"/>
  <sheetViews>
    <sheetView tabSelected="1" workbookViewId="0">
      <selection activeCell="E7" sqref="E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6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ht="20.25" x14ac:dyDescent="0.3">
      <c r="A1" s="1" t="s">
        <v>43</v>
      </c>
      <c r="E1" t="s">
        <v>44</v>
      </c>
    </row>
    <row r="2" spans="1:7" x14ac:dyDescent="0.2">
      <c r="A2" t="s">
        <v>24</v>
      </c>
      <c r="B2" t="s">
        <v>45</v>
      </c>
      <c r="C2" s="31" t="s">
        <v>41</v>
      </c>
      <c r="D2" s="3" t="s">
        <v>46</v>
      </c>
      <c r="E2" s="32" t="s">
        <v>42</v>
      </c>
      <c r="F2" t="s">
        <v>42</v>
      </c>
    </row>
    <row r="3" spans="1:7" ht="13.5" thickBot="1" x14ac:dyDescent="0.25"/>
    <row r="4" spans="1:7" ht="14.25" thickTop="1" thickBot="1" x14ac:dyDescent="0.25">
      <c r="A4" s="5" t="s">
        <v>0</v>
      </c>
      <c r="C4" s="28" t="s">
        <v>40</v>
      </c>
      <c r="D4" s="29" t="s">
        <v>40</v>
      </c>
    </row>
    <row r="6" spans="1:7" x14ac:dyDescent="0.2">
      <c r="A6" s="5" t="s">
        <v>1</v>
      </c>
    </row>
    <row r="7" spans="1:7" x14ac:dyDescent="0.2">
      <c r="A7" t="s">
        <v>2</v>
      </c>
      <c r="C7" s="8">
        <v>55733.56</v>
      </c>
      <c r="D7" s="30" t="s">
        <v>47</v>
      </c>
    </row>
    <row r="8" spans="1:7" x14ac:dyDescent="0.2">
      <c r="A8" t="s">
        <v>3</v>
      </c>
      <c r="C8" s="8">
        <v>0.28199999999999997</v>
      </c>
      <c r="D8" s="30" t="s">
        <v>47</v>
      </c>
    </row>
    <row r="9" spans="1:7" x14ac:dyDescent="0.2">
      <c r="A9" s="9" t="s">
        <v>30</v>
      </c>
      <c r="B9" s="10"/>
      <c r="C9" s="11">
        <v>-9.5</v>
      </c>
      <c r="D9" s="10" t="s">
        <v>31</v>
      </c>
      <c r="E9" s="10"/>
    </row>
    <row r="10" spans="1:7" ht="13.5" thickBot="1" x14ac:dyDescent="0.25">
      <c r="A10" s="10"/>
      <c r="B10" s="10"/>
      <c r="C10" s="4" t="s">
        <v>20</v>
      </c>
      <c r="D10" s="4" t="s">
        <v>21</v>
      </c>
      <c r="E10" s="10"/>
    </row>
    <row r="11" spans="1:7" x14ac:dyDescent="0.2">
      <c r="A11" s="10" t="s">
        <v>15</v>
      </c>
      <c r="B11" s="10"/>
      <c r="C11" s="22">
        <f ca="1">INTERCEPT(INDIRECT($G$11):G992,INDIRECT($F$11):F992)</f>
        <v>0</v>
      </c>
      <c r="D11" s="3"/>
      <c r="E11" s="10"/>
      <c r="F11" s="23" t="str">
        <f>"F"&amp;E19</f>
        <v>F21</v>
      </c>
      <c r="G11" s="24" t="str">
        <f>"G"&amp;E19</f>
        <v>G21</v>
      </c>
    </row>
    <row r="12" spans="1:7" x14ac:dyDescent="0.2">
      <c r="A12" s="10" t="s">
        <v>16</v>
      </c>
      <c r="B12" s="10"/>
      <c r="C12" s="22">
        <f ca="1">SLOPE(INDIRECT($G$11):G992,INDIRECT($F$11):F992)</f>
        <v>-1.3755868555772438E-5</v>
      </c>
      <c r="D12" s="3"/>
      <c r="E12" s="10"/>
    </row>
    <row r="13" spans="1:7" x14ac:dyDescent="0.2">
      <c r="A13" s="10" t="s">
        <v>19</v>
      </c>
      <c r="B13" s="10"/>
      <c r="C13" s="3" t="s">
        <v>13</v>
      </c>
      <c r="D13" s="14" t="s">
        <v>37</v>
      </c>
      <c r="E13" s="11">
        <v>1</v>
      </c>
    </row>
    <row r="14" spans="1:7" x14ac:dyDescent="0.2">
      <c r="A14" s="10"/>
      <c r="B14" s="10"/>
      <c r="C14" s="10"/>
      <c r="D14" s="14" t="s">
        <v>32</v>
      </c>
      <c r="E14" s="15">
        <f ca="1">NOW()+15018.5+$C$9/24</f>
        <v>60314.616383449073</v>
      </c>
    </row>
    <row r="15" spans="1:7" x14ac:dyDescent="0.2">
      <c r="A15" s="12" t="s">
        <v>17</v>
      </c>
      <c r="B15" s="10"/>
      <c r="C15" s="13">
        <f ca="1">(C7+C11)+(C8+C12)*INT(MAX(F21:F3533))</f>
        <v>55733.56</v>
      </c>
      <c r="D15" s="14" t="s">
        <v>38</v>
      </c>
      <c r="E15" s="15">
        <f ca="1">ROUND(2*(E14-$C$7)/$C$8,0)/2+E13</f>
        <v>16246</v>
      </c>
    </row>
    <row r="16" spans="1:7" x14ac:dyDescent="0.2">
      <c r="A16" s="16" t="s">
        <v>4</v>
      </c>
      <c r="B16" s="10"/>
      <c r="C16" s="17">
        <f ca="1">+C8+C12</f>
        <v>0.28198624413144419</v>
      </c>
      <c r="D16" s="14" t="s">
        <v>39</v>
      </c>
      <c r="E16" s="24">
        <f ca="1">ROUND(2*(E14-$C$15)/$C$16,0)/2+E13</f>
        <v>16246.5</v>
      </c>
    </row>
    <row r="17" spans="1:19" ht="13.5" thickBot="1" x14ac:dyDescent="0.25">
      <c r="A17" s="14" t="s">
        <v>29</v>
      </c>
      <c r="B17" s="10"/>
      <c r="C17" s="10">
        <f>COUNT(C21:C2191)</f>
        <v>2</v>
      </c>
      <c r="D17" s="14" t="s">
        <v>33</v>
      </c>
      <c r="E17" s="18">
        <f ca="1">+$C$15+$C$16*E16-15018.5-$C$9/24</f>
        <v>45296.745348614844</v>
      </c>
    </row>
    <row r="18" spans="1:19" ht="14.25" thickTop="1" thickBot="1" x14ac:dyDescent="0.25">
      <c r="A18" s="16" t="s">
        <v>5</v>
      </c>
      <c r="B18" s="10"/>
      <c r="C18" s="19">
        <f ca="1">+C15</f>
        <v>55733.56</v>
      </c>
      <c r="D18" s="20">
        <f ca="1">+C16</f>
        <v>0.28198624413144419</v>
      </c>
      <c r="E18" s="21" t="s">
        <v>34</v>
      </c>
    </row>
    <row r="19" spans="1:19" ht="13.5" thickTop="1" x14ac:dyDescent="0.2">
      <c r="A19" s="25" t="s">
        <v>35</v>
      </c>
      <c r="E19" s="26">
        <v>21</v>
      </c>
      <c r="S19">
        <f ca="1">SQRT(SUM(S21:S50)/(COUNT(S21:S50)-1))</f>
        <v>0</v>
      </c>
    </row>
    <row r="20" spans="1:19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tr">
        <f>A21</f>
        <v>OEJV 0160</v>
      </c>
      <c r="I20" s="7" t="s">
        <v>50</v>
      </c>
      <c r="J20" s="7" t="s">
        <v>18</v>
      </c>
      <c r="K20" s="7" t="s">
        <v>25</v>
      </c>
      <c r="L20" s="7" t="s">
        <v>26</v>
      </c>
      <c r="M20" s="7" t="s">
        <v>27</v>
      </c>
      <c r="N20" s="7" t="s">
        <v>28</v>
      </c>
      <c r="O20" s="7" t="s">
        <v>23</v>
      </c>
      <c r="P20" s="6" t="s">
        <v>22</v>
      </c>
      <c r="Q20" s="4" t="s">
        <v>14</v>
      </c>
      <c r="R20" s="27" t="s">
        <v>36</v>
      </c>
    </row>
    <row r="21" spans="1:19" x14ac:dyDescent="0.2">
      <c r="A21" s="33" t="s">
        <v>48</v>
      </c>
      <c r="B21" s="34" t="s">
        <v>49</v>
      </c>
      <c r="C21" s="35">
        <v>55673.496930000001</v>
      </c>
      <c r="D21" s="35">
        <v>1E-4</v>
      </c>
      <c r="E21">
        <f>+(C21-C$7)/C$8</f>
        <v>-212.98960992906567</v>
      </c>
      <c r="F21">
        <f>ROUND(2*E21,0)/2</f>
        <v>-213</v>
      </c>
      <c r="G21">
        <f>+C21-(C$7+F21*C$8)</f>
        <v>2.9300000023795292E-3</v>
      </c>
      <c r="I21">
        <f>+G21</f>
        <v>2.9300000023795292E-3</v>
      </c>
      <c r="O21">
        <f ca="1">+C$11+C$12*$F21</f>
        <v>2.9300000023795292E-3</v>
      </c>
      <c r="Q21" s="2">
        <f>+C21-15018.5</f>
        <v>40654.996930000001</v>
      </c>
      <c r="S21">
        <f ca="1">+(O21-G21)^2</f>
        <v>0</v>
      </c>
    </row>
    <row r="22" spans="1:19" x14ac:dyDescent="0.2">
      <c r="A22" t="str">
        <f>D8</f>
        <v>VSX</v>
      </c>
      <c r="C22" s="8">
        <f>C$7</f>
        <v>55733.56</v>
      </c>
      <c r="D22" s="8" t="s">
        <v>13</v>
      </c>
      <c r="E22">
        <f>+(C22-C$7)/C$8</f>
        <v>0</v>
      </c>
      <c r="F22">
        <f>ROUND(2*E22,0)/2</f>
        <v>0</v>
      </c>
      <c r="G22">
        <f>+C22-(C$7+F22*C$8)</f>
        <v>0</v>
      </c>
      <c r="H22">
        <f>+G22</f>
        <v>0</v>
      </c>
      <c r="O22">
        <f ca="1">+C$11+C$12*$F22</f>
        <v>0</v>
      </c>
      <c r="Q22" s="2">
        <f>+C22-15018.5</f>
        <v>40715.06</v>
      </c>
      <c r="S22">
        <f ca="1">+(O22-G22)^2</f>
        <v>0</v>
      </c>
    </row>
    <row r="23" spans="1:19" x14ac:dyDescent="0.2">
      <c r="C23" s="8"/>
      <c r="D23" s="8"/>
      <c r="Q23" s="2"/>
    </row>
    <row r="24" spans="1:19" x14ac:dyDescent="0.2">
      <c r="C24" s="8"/>
      <c r="D24" s="8"/>
      <c r="Q24" s="2"/>
    </row>
    <row r="25" spans="1:19" x14ac:dyDescent="0.2">
      <c r="C25" s="8"/>
      <c r="D25" s="8"/>
      <c r="Q25" s="2"/>
    </row>
    <row r="26" spans="1:19" x14ac:dyDescent="0.2">
      <c r="C26" s="8"/>
      <c r="D26" s="8"/>
      <c r="Q26" s="2"/>
    </row>
    <row r="27" spans="1:19" x14ac:dyDescent="0.2">
      <c r="C27" s="8"/>
      <c r="D27" s="8"/>
      <c r="Q27" s="2"/>
    </row>
    <row r="28" spans="1:19" x14ac:dyDescent="0.2">
      <c r="C28" s="8"/>
      <c r="D28" s="8"/>
      <c r="Q28" s="2"/>
    </row>
    <row r="29" spans="1:19" x14ac:dyDescent="0.2">
      <c r="C29" s="8"/>
      <c r="D29" s="8"/>
      <c r="Q29" s="2"/>
    </row>
    <row r="30" spans="1:19" x14ac:dyDescent="0.2">
      <c r="C30" s="8"/>
      <c r="D30" s="8"/>
      <c r="Q30" s="2"/>
    </row>
    <row r="31" spans="1:19" x14ac:dyDescent="0.2">
      <c r="C31" s="8"/>
      <c r="D31" s="8"/>
      <c r="Q31" s="2"/>
    </row>
    <row r="32" spans="1:19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2024-01-05T01:47:35Z</dcterms:modified>
</cp:coreProperties>
</file>