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1506057-91E1-4C09-A8E2-06A33F2B34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BAV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3" i="1" l="1"/>
  <c r="F83" i="1" s="1"/>
  <c r="Q83" i="1"/>
  <c r="E76" i="1"/>
  <c r="F76" i="1" s="1"/>
  <c r="E78" i="1"/>
  <c r="F78" i="1" s="1"/>
  <c r="G78" i="1" s="1"/>
  <c r="K78" i="1" s="1"/>
  <c r="E80" i="1"/>
  <c r="F80" i="1" s="1"/>
  <c r="Q76" i="1"/>
  <c r="Q78" i="1"/>
  <c r="Q80" i="1"/>
  <c r="E82" i="1"/>
  <c r="F82" i="1"/>
  <c r="G82" i="1" s="1"/>
  <c r="K82" i="1" s="1"/>
  <c r="D11" i="1"/>
  <c r="T6" i="1" s="1"/>
  <c r="D12" i="1"/>
  <c r="Q82" i="1"/>
  <c r="E73" i="1"/>
  <c r="F73" i="1" s="1"/>
  <c r="E74" i="1"/>
  <c r="F74" i="1" s="1"/>
  <c r="E75" i="1"/>
  <c r="F75" i="1" s="1"/>
  <c r="E77" i="1"/>
  <c r="F77" i="1" s="1"/>
  <c r="E79" i="1"/>
  <c r="F79" i="1" s="1"/>
  <c r="E81" i="1"/>
  <c r="F81" i="1" s="1"/>
  <c r="G81" i="1" s="1"/>
  <c r="K81" i="1" s="1"/>
  <c r="Q79" i="1"/>
  <c r="Q81" i="1"/>
  <c r="E70" i="1"/>
  <c r="F70" i="1" s="1"/>
  <c r="E71" i="1"/>
  <c r="F71" i="1" s="1"/>
  <c r="E72" i="1"/>
  <c r="F72" i="1" s="1"/>
  <c r="Q74" i="1"/>
  <c r="Q77" i="1"/>
  <c r="Q75" i="1"/>
  <c r="Q73" i="1"/>
  <c r="D9" i="1"/>
  <c r="C9" i="1"/>
  <c r="Q72" i="1"/>
  <c r="Q71" i="1"/>
  <c r="E68" i="1"/>
  <c r="F68" i="1" s="1"/>
  <c r="Q68" i="1"/>
  <c r="E69" i="1"/>
  <c r="F69" i="1" s="1"/>
  <c r="Q69" i="1"/>
  <c r="Q70" i="1"/>
  <c r="F16" i="1"/>
  <c r="D21" i="2"/>
  <c r="F21" i="2" s="1"/>
  <c r="D22" i="2"/>
  <c r="I22" i="2" s="1"/>
  <c r="J22" i="2" s="1"/>
  <c r="D23" i="2"/>
  <c r="D24" i="2"/>
  <c r="D25" i="2"/>
  <c r="F25" i="2" s="1"/>
  <c r="D26" i="2"/>
  <c r="F26" i="2" s="1"/>
  <c r="D27" i="2"/>
  <c r="F27" i="2"/>
  <c r="G27" i="2" s="1"/>
  <c r="D28" i="2"/>
  <c r="F28" i="2" s="1"/>
  <c r="H28" i="2" s="1"/>
  <c r="D29" i="2"/>
  <c r="D30" i="2"/>
  <c r="F30" i="2" s="1"/>
  <c r="D31" i="2"/>
  <c r="F31" i="2" s="1"/>
  <c r="H31" i="2" s="1"/>
  <c r="D32" i="2"/>
  <c r="F32" i="2" s="1"/>
  <c r="D33" i="2"/>
  <c r="D34" i="2"/>
  <c r="F34" i="2" s="1"/>
  <c r="H34" i="2" s="1"/>
  <c r="D35" i="2"/>
  <c r="F35" i="2" s="1"/>
  <c r="G35" i="2" s="1"/>
  <c r="D36" i="2"/>
  <c r="F36" i="2" s="1"/>
  <c r="D37" i="2"/>
  <c r="F37" i="2"/>
  <c r="H37" i="2" s="1"/>
  <c r="D38" i="2"/>
  <c r="D39" i="2"/>
  <c r="F39" i="2" s="1"/>
  <c r="H39" i="2" s="1"/>
  <c r="D40" i="2"/>
  <c r="D41" i="2"/>
  <c r="D42" i="2"/>
  <c r="F42" i="2" s="1"/>
  <c r="H42" i="2" s="1"/>
  <c r="D43" i="2"/>
  <c r="D44" i="2"/>
  <c r="I44" i="2" s="1"/>
  <c r="J44" i="2" s="1"/>
  <c r="D45" i="2"/>
  <c r="F45" i="2" s="1"/>
  <c r="D46" i="2"/>
  <c r="F46" i="2" s="1"/>
  <c r="D47" i="2"/>
  <c r="F47" i="2" s="1"/>
  <c r="H47" i="2" s="1"/>
  <c r="D48" i="2"/>
  <c r="F48" i="2" s="1"/>
  <c r="H48" i="2" s="1"/>
  <c r="D49" i="2"/>
  <c r="F49" i="2" s="1"/>
  <c r="D50" i="2"/>
  <c r="D51" i="2"/>
  <c r="F51" i="2" s="1"/>
  <c r="D52" i="2"/>
  <c r="F52" i="2"/>
  <c r="G52" i="2" s="1"/>
  <c r="F38" i="2"/>
  <c r="H38" i="2" s="1"/>
  <c r="E21" i="2"/>
  <c r="E22" i="2"/>
  <c r="E23" i="2"/>
  <c r="I23" i="2" s="1"/>
  <c r="J23" i="2" s="1"/>
  <c r="E24" i="2"/>
  <c r="E25" i="2"/>
  <c r="E26" i="2"/>
  <c r="E27" i="2"/>
  <c r="I27" i="2" s="1"/>
  <c r="J27" i="2" s="1"/>
  <c r="E28" i="2"/>
  <c r="E29" i="2"/>
  <c r="I29" i="2" s="1"/>
  <c r="J29" i="2" s="1"/>
  <c r="E30" i="2"/>
  <c r="E31" i="2"/>
  <c r="I31" i="2" s="1"/>
  <c r="J31" i="2" s="1"/>
  <c r="E32" i="2"/>
  <c r="I32" i="2" s="1"/>
  <c r="J32" i="2" s="1"/>
  <c r="E33" i="2"/>
  <c r="E34" i="2"/>
  <c r="I34" i="2"/>
  <c r="J34" i="2" s="1"/>
  <c r="E35" i="2"/>
  <c r="E36" i="2"/>
  <c r="E37" i="2"/>
  <c r="I37" i="2" s="1"/>
  <c r="J37" i="2" s="1"/>
  <c r="E38" i="2"/>
  <c r="I38" i="2" s="1"/>
  <c r="J38" i="2" s="1"/>
  <c r="E39" i="2"/>
  <c r="E40" i="2"/>
  <c r="E41" i="2"/>
  <c r="E42" i="2"/>
  <c r="E43" i="2"/>
  <c r="I43" i="2" s="1"/>
  <c r="J43" i="2" s="1"/>
  <c r="E44" i="2"/>
  <c r="E45" i="2"/>
  <c r="E46" i="2"/>
  <c r="I46" i="2" s="1"/>
  <c r="J46" i="2" s="1"/>
  <c r="E47" i="2"/>
  <c r="E48" i="2"/>
  <c r="E49" i="2"/>
  <c r="E50" i="2"/>
  <c r="I50" i="2" s="1"/>
  <c r="J50" i="2" s="1"/>
  <c r="E51" i="2"/>
  <c r="I51" i="2" s="1"/>
  <c r="J51" i="2" s="1"/>
  <c r="E52" i="2"/>
  <c r="I52" i="2" s="1"/>
  <c r="B10" i="2"/>
  <c r="D13" i="1"/>
  <c r="E23" i="1"/>
  <c r="F23" i="1" s="1"/>
  <c r="E25" i="1"/>
  <c r="E41" i="3" s="1"/>
  <c r="E26" i="1"/>
  <c r="F26" i="1"/>
  <c r="P26" i="1" s="1"/>
  <c r="E27" i="1"/>
  <c r="F27" i="1" s="1"/>
  <c r="E43" i="3"/>
  <c r="E28" i="1"/>
  <c r="F28" i="1" s="1"/>
  <c r="E29" i="1"/>
  <c r="E45" i="3" s="1"/>
  <c r="E30" i="1"/>
  <c r="F30" i="1" s="1"/>
  <c r="E31" i="1"/>
  <c r="F31" i="1" s="1"/>
  <c r="E33" i="1"/>
  <c r="E6" i="3" s="1"/>
  <c r="E34" i="1"/>
  <c r="F34" i="1" s="1"/>
  <c r="E35" i="1"/>
  <c r="E8" i="3" s="1"/>
  <c r="F35" i="1"/>
  <c r="P35" i="1" s="1"/>
  <c r="E36" i="1"/>
  <c r="F36" i="1" s="1"/>
  <c r="E37" i="1"/>
  <c r="F37" i="1" s="1"/>
  <c r="G37" i="1" s="1"/>
  <c r="J37" i="1" s="1"/>
  <c r="E38" i="1"/>
  <c r="F38" i="1" s="1"/>
  <c r="G38" i="1" s="1"/>
  <c r="J38" i="1" s="1"/>
  <c r="E39" i="1"/>
  <c r="E12" i="3" s="1"/>
  <c r="E40" i="1"/>
  <c r="F40" i="1" s="1"/>
  <c r="G40" i="1" s="1"/>
  <c r="K40" i="1" s="1"/>
  <c r="E41" i="1"/>
  <c r="F41" i="1" s="1"/>
  <c r="E42" i="1"/>
  <c r="F42" i="1" s="1"/>
  <c r="P42" i="1" s="1"/>
  <c r="E43" i="1"/>
  <c r="F43" i="1" s="1"/>
  <c r="E44" i="1"/>
  <c r="F44" i="1"/>
  <c r="G44" i="1" s="1"/>
  <c r="J44" i="1" s="1"/>
  <c r="E45" i="1"/>
  <c r="E18" i="3" s="1"/>
  <c r="F45" i="1"/>
  <c r="P45" i="1" s="1"/>
  <c r="E46" i="1"/>
  <c r="F46" i="1" s="1"/>
  <c r="E47" i="1"/>
  <c r="E20" i="3" s="1"/>
  <c r="E48" i="1"/>
  <c r="F48" i="1" s="1"/>
  <c r="E49" i="1"/>
  <c r="F49" i="1" s="1"/>
  <c r="E50" i="1"/>
  <c r="F50" i="1" s="1"/>
  <c r="E51" i="1"/>
  <c r="F51" i="1" s="1"/>
  <c r="E52" i="1"/>
  <c r="E24" i="3" s="1"/>
  <c r="F52" i="1"/>
  <c r="P52" i="1" s="1"/>
  <c r="E53" i="1"/>
  <c r="F53" i="1" s="1"/>
  <c r="G53" i="1" s="1"/>
  <c r="J53" i="1" s="1"/>
  <c r="E54" i="1"/>
  <c r="F54" i="1" s="1"/>
  <c r="P54" i="1" s="1"/>
  <c r="E55" i="1"/>
  <c r="F55" i="1" s="1"/>
  <c r="E56" i="1"/>
  <c r="F56" i="1" s="1"/>
  <c r="P56" i="1" s="1"/>
  <c r="E57" i="1"/>
  <c r="F57" i="1" s="1"/>
  <c r="E58" i="1"/>
  <c r="F58" i="1" s="1"/>
  <c r="E59" i="1"/>
  <c r="F59" i="1" s="1"/>
  <c r="G59" i="1" s="1"/>
  <c r="K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G65" i="1" s="1"/>
  <c r="K65" i="1" s="1"/>
  <c r="E66" i="1"/>
  <c r="F66" i="1"/>
  <c r="P66" i="1" s="1"/>
  <c r="E67" i="1"/>
  <c r="F67" i="1" s="1"/>
  <c r="E22" i="1"/>
  <c r="F22" i="1" s="1"/>
  <c r="E32" i="1"/>
  <c r="F32" i="1" s="1"/>
  <c r="E24" i="1"/>
  <c r="F24" i="1" s="1"/>
  <c r="P24" i="1" s="1"/>
  <c r="Q23" i="1"/>
  <c r="Q25" i="1"/>
  <c r="Q26" i="1"/>
  <c r="Q27" i="1"/>
  <c r="Q28" i="1"/>
  <c r="Q29" i="1"/>
  <c r="Q30" i="1"/>
  <c r="Q31" i="1"/>
  <c r="E38" i="3"/>
  <c r="E42" i="3"/>
  <c r="E46" i="3"/>
  <c r="E14" i="3"/>
  <c r="E48" i="3"/>
  <c r="E21" i="3"/>
  <c r="E28" i="3"/>
  <c r="E33" i="3"/>
  <c r="E34" i="3"/>
  <c r="E35" i="3"/>
  <c r="E37" i="3"/>
  <c r="E39" i="3"/>
  <c r="Q67" i="1"/>
  <c r="Q60" i="1"/>
  <c r="Q61" i="1"/>
  <c r="Q62" i="1"/>
  <c r="Q63" i="1"/>
  <c r="Q64" i="1"/>
  <c r="Q65" i="1"/>
  <c r="Q66" i="1"/>
  <c r="A13" i="2"/>
  <c r="C13" i="2"/>
  <c r="D17" i="2"/>
  <c r="E53" i="2"/>
  <c r="E54" i="2"/>
  <c r="E55" i="2"/>
  <c r="E56" i="2"/>
  <c r="I56" i="2"/>
  <c r="J56" i="2"/>
  <c r="E57" i="2"/>
  <c r="E58" i="2"/>
  <c r="E59" i="2"/>
  <c r="I59" i="2"/>
  <c r="J59" i="2"/>
  <c r="E60" i="2"/>
  <c r="I60" i="2"/>
  <c r="J60" i="2"/>
  <c r="E61" i="2"/>
  <c r="E62" i="2"/>
  <c r="E63" i="2"/>
  <c r="E64" i="2"/>
  <c r="I64" i="2"/>
  <c r="J64" i="2"/>
  <c r="E65" i="2"/>
  <c r="E66" i="2"/>
  <c r="E67" i="2"/>
  <c r="E68" i="2"/>
  <c r="I68" i="2"/>
  <c r="J68" i="2"/>
  <c r="D53" i="2"/>
  <c r="D54" i="2"/>
  <c r="F54" i="2"/>
  <c r="D55" i="2"/>
  <c r="F55" i="2"/>
  <c r="D56" i="2"/>
  <c r="F56" i="2"/>
  <c r="D57" i="2"/>
  <c r="I57" i="2"/>
  <c r="J57" i="2"/>
  <c r="D58" i="2"/>
  <c r="F58" i="2"/>
  <c r="D59" i="2"/>
  <c r="F59" i="2"/>
  <c r="D60" i="2"/>
  <c r="F60" i="2"/>
  <c r="D61" i="2"/>
  <c r="D62" i="2"/>
  <c r="F62" i="2"/>
  <c r="D63" i="2"/>
  <c r="F63" i="2"/>
  <c r="D64" i="2"/>
  <c r="F64" i="2"/>
  <c r="H64" i="2"/>
  <c r="D65" i="2"/>
  <c r="D66" i="2"/>
  <c r="F66" i="2"/>
  <c r="D67" i="2"/>
  <c r="F67" i="2"/>
  <c r="D68" i="2"/>
  <c r="F68" i="2"/>
  <c r="I53" i="2"/>
  <c r="I54" i="2"/>
  <c r="J54" i="2"/>
  <c r="I55" i="2"/>
  <c r="I58" i="2"/>
  <c r="J58" i="2"/>
  <c r="I61" i="2"/>
  <c r="J61" i="2"/>
  <c r="I62" i="2"/>
  <c r="J62" i="2"/>
  <c r="I65" i="2"/>
  <c r="J53" i="2"/>
  <c r="J55" i="2"/>
  <c r="J65" i="2"/>
  <c r="Q49" i="1"/>
  <c r="Q50" i="1"/>
  <c r="Q53" i="1"/>
  <c r="Q54" i="1"/>
  <c r="Q58" i="1"/>
  <c r="Q59" i="1"/>
  <c r="Q55" i="1"/>
  <c r="Q56" i="1"/>
  <c r="Q57" i="1"/>
  <c r="Q52" i="1"/>
  <c r="Q51" i="1"/>
  <c r="E21" i="1"/>
  <c r="F21" i="1" s="1"/>
  <c r="G21" i="1" s="1"/>
  <c r="I21" i="1" s="1"/>
  <c r="E145" i="2"/>
  <c r="E16" i="2"/>
  <c r="E15" i="2"/>
  <c r="E13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F16" i="2"/>
  <c r="F15" i="2"/>
  <c r="D69" i="2"/>
  <c r="F69" i="2"/>
  <c r="D70" i="2"/>
  <c r="F70" i="2"/>
  <c r="D71" i="2"/>
  <c r="F71" i="2"/>
  <c r="D72" i="2"/>
  <c r="F72" i="2"/>
  <c r="D73" i="2"/>
  <c r="F73" i="2"/>
  <c r="D74" i="2"/>
  <c r="F74" i="2"/>
  <c r="D75" i="2"/>
  <c r="F75" i="2"/>
  <c r="D76" i="2"/>
  <c r="F76" i="2"/>
  <c r="D77" i="2"/>
  <c r="F77" i="2"/>
  <c r="D78" i="2"/>
  <c r="F78" i="2"/>
  <c r="D79" i="2"/>
  <c r="F79" i="2"/>
  <c r="D80" i="2"/>
  <c r="F80" i="2"/>
  <c r="D81" i="2"/>
  <c r="F81" i="2"/>
  <c r="D82" i="2"/>
  <c r="F82" i="2"/>
  <c r="D83" i="2"/>
  <c r="F83" i="2"/>
  <c r="D84" i="2"/>
  <c r="F84" i="2"/>
  <c r="D85" i="2"/>
  <c r="F85" i="2"/>
  <c r="D86" i="2"/>
  <c r="F86" i="2"/>
  <c r="D87" i="2"/>
  <c r="F87" i="2"/>
  <c r="D88" i="2"/>
  <c r="F88" i="2"/>
  <c r="D89" i="2"/>
  <c r="F89" i="2"/>
  <c r="D90" i="2"/>
  <c r="F90" i="2"/>
  <c r="D91" i="2"/>
  <c r="F91" i="2"/>
  <c r="D92" i="2"/>
  <c r="F92" i="2"/>
  <c r="D93" i="2"/>
  <c r="F93" i="2"/>
  <c r="D94" i="2"/>
  <c r="F94" i="2"/>
  <c r="D95" i="2"/>
  <c r="F95" i="2"/>
  <c r="D96" i="2"/>
  <c r="F96" i="2"/>
  <c r="D97" i="2"/>
  <c r="F97" i="2"/>
  <c r="D98" i="2"/>
  <c r="F98" i="2"/>
  <c r="H98" i="2"/>
  <c r="D99" i="2"/>
  <c r="F99" i="2"/>
  <c r="D100" i="2"/>
  <c r="F100" i="2"/>
  <c r="D101" i="2"/>
  <c r="F101" i="2"/>
  <c r="D102" i="2"/>
  <c r="F102" i="2"/>
  <c r="D103" i="2"/>
  <c r="F103" i="2"/>
  <c r="D104" i="2"/>
  <c r="F104" i="2"/>
  <c r="D105" i="2"/>
  <c r="F105" i="2"/>
  <c r="D106" i="2"/>
  <c r="F106" i="2"/>
  <c r="H106" i="2"/>
  <c r="D107" i="2"/>
  <c r="F107" i="2"/>
  <c r="D108" i="2"/>
  <c r="F108" i="2"/>
  <c r="H108" i="2"/>
  <c r="D109" i="2"/>
  <c r="F109" i="2"/>
  <c r="D110" i="2"/>
  <c r="F110" i="2"/>
  <c r="D111" i="2"/>
  <c r="F111" i="2"/>
  <c r="D112" i="2"/>
  <c r="F112" i="2"/>
  <c r="D113" i="2"/>
  <c r="F113" i="2"/>
  <c r="D114" i="2"/>
  <c r="F114" i="2"/>
  <c r="H114" i="2"/>
  <c r="D115" i="2"/>
  <c r="F115" i="2"/>
  <c r="D116" i="2"/>
  <c r="F116" i="2"/>
  <c r="H116" i="2"/>
  <c r="D117" i="2"/>
  <c r="F117" i="2"/>
  <c r="D118" i="2"/>
  <c r="F118" i="2"/>
  <c r="H118" i="2"/>
  <c r="D119" i="2"/>
  <c r="F119" i="2"/>
  <c r="D120" i="2"/>
  <c r="F120" i="2"/>
  <c r="D121" i="2"/>
  <c r="F121" i="2"/>
  <c r="D122" i="2"/>
  <c r="F122" i="2"/>
  <c r="H122" i="2"/>
  <c r="D123" i="2"/>
  <c r="F123" i="2"/>
  <c r="D124" i="2"/>
  <c r="F124" i="2"/>
  <c r="H124" i="2"/>
  <c r="D125" i="2"/>
  <c r="F125" i="2"/>
  <c r="D126" i="2"/>
  <c r="F126" i="2"/>
  <c r="H126" i="2"/>
  <c r="D127" i="2"/>
  <c r="F127" i="2"/>
  <c r="D128" i="2"/>
  <c r="F128" i="2"/>
  <c r="D129" i="2"/>
  <c r="F129" i="2"/>
  <c r="D130" i="2"/>
  <c r="F130" i="2"/>
  <c r="H130" i="2"/>
  <c r="D131" i="2"/>
  <c r="F131" i="2"/>
  <c r="D132" i="2"/>
  <c r="F132" i="2"/>
  <c r="H132" i="2"/>
  <c r="D133" i="2"/>
  <c r="F133" i="2"/>
  <c r="D134" i="2"/>
  <c r="F134" i="2"/>
  <c r="H134" i="2"/>
  <c r="D135" i="2"/>
  <c r="F135" i="2"/>
  <c r="D136" i="2"/>
  <c r="F136" i="2"/>
  <c r="D137" i="2"/>
  <c r="F137" i="2"/>
  <c r="D138" i="2"/>
  <c r="F138" i="2"/>
  <c r="H138" i="2"/>
  <c r="D139" i="2"/>
  <c r="F139" i="2"/>
  <c r="D140" i="2"/>
  <c r="F140" i="2"/>
  <c r="H140" i="2"/>
  <c r="D141" i="2"/>
  <c r="F141" i="2"/>
  <c r="D142" i="2"/>
  <c r="F142" i="2"/>
  <c r="H142" i="2"/>
  <c r="D143" i="2"/>
  <c r="F143" i="2"/>
  <c r="D144" i="2"/>
  <c r="F144" i="2"/>
  <c r="D145" i="2"/>
  <c r="F145" i="2"/>
  <c r="H16" i="2"/>
  <c r="H15" i="2"/>
  <c r="H12" i="2"/>
  <c r="H70" i="2"/>
  <c r="H72" i="2"/>
  <c r="H74" i="2"/>
  <c r="H76" i="2"/>
  <c r="H78" i="2"/>
  <c r="H80" i="2"/>
  <c r="H82" i="2"/>
  <c r="H84" i="2"/>
  <c r="H86" i="2"/>
  <c r="H88" i="2"/>
  <c r="H90" i="2"/>
  <c r="H92" i="2"/>
  <c r="H94" i="2"/>
  <c r="H96" i="2"/>
  <c r="H100" i="2"/>
  <c r="H102" i="2"/>
  <c r="H104" i="2"/>
  <c r="H110" i="2"/>
  <c r="H112" i="2"/>
  <c r="H120" i="2"/>
  <c r="H128" i="2"/>
  <c r="H136" i="2"/>
  <c r="H144" i="2"/>
  <c r="G16" i="2"/>
  <c r="G15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G124" i="2"/>
  <c r="G126" i="2"/>
  <c r="G128" i="2"/>
  <c r="G130" i="2"/>
  <c r="G132" i="2"/>
  <c r="G134" i="2"/>
  <c r="G136" i="2"/>
  <c r="G138" i="2"/>
  <c r="G140" i="2"/>
  <c r="G142" i="2"/>
  <c r="G144" i="2"/>
  <c r="I16" i="2"/>
  <c r="I15" i="2"/>
  <c r="I69" i="2"/>
  <c r="I70" i="2"/>
  <c r="J70" i="2"/>
  <c r="I71" i="2"/>
  <c r="J71" i="2"/>
  <c r="I72" i="2"/>
  <c r="J72" i="2"/>
  <c r="I73" i="2"/>
  <c r="I74" i="2"/>
  <c r="I75" i="2"/>
  <c r="J75" i="2"/>
  <c r="I76" i="2"/>
  <c r="J76" i="2"/>
  <c r="I77" i="2"/>
  <c r="I78" i="2"/>
  <c r="I79" i="2"/>
  <c r="J79" i="2"/>
  <c r="I80" i="2"/>
  <c r="I81" i="2"/>
  <c r="J81" i="2"/>
  <c r="I82" i="2"/>
  <c r="J82" i="2"/>
  <c r="I83" i="2"/>
  <c r="J83" i="2"/>
  <c r="I84" i="2"/>
  <c r="I85" i="2"/>
  <c r="I86" i="2"/>
  <c r="J86" i="2"/>
  <c r="I87" i="2"/>
  <c r="J87" i="2"/>
  <c r="I88" i="2"/>
  <c r="J88" i="2"/>
  <c r="I89" i="2"/>
  <c r="I90" i="2"/>
  <c r="I91" i="2"/>
  <c r="J91" i="2"/>
  <c r="I92" i="2"/>
  <c r="J92" i="2"/>
  <c r="I93" i="2"/>
  <c r="I94" i="2"/>
  <c r="I95" i="2"/>
  <c r="J95" i="2"/>
  <c r="I96" i="2"/>
  <c r="I97" i="2"/>
  <c r="I98" i="2"/>
  <c r="J98" i="2"/>
  <c r="I99" i="2"/>
  <c r="J99" i="2"/>
  <c r="I100" i="2"/>
  <c r="I101" i="2"/>
  <c r="I102" i="2"/>
  <c r="J102" i="2"/>
  <c r="I103" i="2"/>
  <c r="J103" i="2"/>
  <c r="I104" i="2"/>
  <c r="J104" i="2"/>
  <c r="I105" i="2"/>
  <c r="I106" i="2"/>
  <c r="I107" i="2"/>
  <c r="J107" i="2"/>
  <c r="I108" i="2"/>
  <c r="J108" i="2"/>
  <c r="I109" i="2"/>
  <c r="I110" i="2"/>
  <c r="I111" i="2"/>
  <c r="J111" i="2"/>
  <c r="I112" i="2"/>
  <c r="I113" i="2"/>
  <c r="J113" i="2"/>
  <c r="I114" i="2"/>
  <c r="J114" i="2"/>
  <c r="I115" i="2"/>
  <c r="J115" i="2"/>
  <c r="I116" i="2"/>
  <c r="I117" i="2"/>
  <c r="J117" i="2"/>
  <c r="I118" i="2"/>
  <c r="J118" i="2"/>
  <c r="I119" i="2"/>
  <c r="J119" i="2"/>
  <c r="I120" i="2"/>
  <c r="J120" i="2"/>
  <c r="I121" i="2"/>
  <c r="I122" i="2"/>
  <c r="I123" i="2"/>
  <c r="J123" i="2"/>
  <c r="I124" i="2"/>
  <c r="J124" i="2"/>
  <c r="I125" i="2"/>
  <c r="I126" i="2"/>
  <c r="I127" i="2"/>
  <c r="J127" i="2"/>
  <c r="I128" i="2"/>
  <c r="I129" i="2"/>
  <c r="I130" i="2"/>
  <c r="J130" i="2"/>
  <c r="I131" i="2"/>
  <c r="J131" i="2"/>
  <c r="I132" i="2"/>
  <c r="I133" i="2"/>
  <c r="I134" i="2"/>
  <c r="J134" i="2"/>
  <c r="I135" i="2"/>
  <c r="J135" i="2"/>
  <c r="I136" i="2"/>
  <c r="J136" i="2"/>
  <c r="I137" i="2"/>
  <c r="I138" i="2"/>
  <c r="I139" i="2"/>
  <c r="J139" i="2"/>
  <c r="I140" i="2"/>
  <c r="J140" i="2"/>
  <c r="I141" i="2"/>
  <c r="I142" i="2"/>
  <c r="I143" i="2"/>
  <c r="J143" i="2"/>
  <c r="I144" i="2"/>
  <c r="I145" i="2"/>
  <c r="J145" i="2"/>
  <c r="D16" i="2"/>
  <c r="D15" i="2"/>
  <c r="D13" i="2"/>
  <c r="J16" i="2"/>
  <c r="J15" i="2"/>
  <c r="J69" i="2"/>
  <c r="J73" i="2"/>
  <c r="J74" i="2"/>
  <c r="J77" i="2"/>
  <c r="J78" i="2"/>
  <c r="J80" i="2"/>
  <c r="J84" i="2"/>
  <c r="J85" i="2"/>
  <c r="J89" i="2"/>
  <c r="J90" i="2"/>
  <c r="J93" i="2"/>
  <c r="J94" i="2"/>
  <c r="J96" i="2"/>
  <c r="J97" i="2"/>
  <c r="J100" i="2"/>
  <c r="J101" i="2"/>
  <c r="J105" i="2"/>
  <c r="J106" i="2"/>
  <c r="J109" i="2"/>
  <c r="J110" i="2"/>
  <c r="J112" i="2"/>
  <c r="J116" i="2"/>
  <c r="J121" i="2"/>
  <c r="J122" i="2"/>
  <c r="J125" i="2"/>
  <c r="J126" i="2"/>
  <c r="J128" i="2"/>
  <c r="J129" i="2"/>
  <c r="J132" i="2"/>
  <c r="J133" i="2"/>
  <c r="J137" i="2"/>
  <c r="J138" i="2"/>
  <c r="J141" i="2"/>
  <c r="J142" i="2"/>
  <c r="J144" i="2"/>
  <c r="O16" i="2"/>
  <c r="O15" i="2"/>
  <c r="O12" i="2"/>
  <c r="N16" i="2"/>
  <c r="N15" i="2"/>
  <c r="N13" i="2"/>
  <c r="N12" i="2"/>
  <c r="M16" i="2"/>
  <c r="M15" i="2"/>
  <c r="M13" i="2"/>
  <c r="L16" i="2"/>
  <c r="L15" i="2"/>
  <c r="L13" i="2"/>
  <c r="K16" i="2"/>
  <c r="K15" i="2"/>
  <c r="K12" i="2"/>
  <c r="G6" i="2"/>
  <c r="G7" i="2"/>
  <c r="G5" i="2"/>
  <c r="G4" i="2"/>
  <c r="T3" i="1"/>
  <c r="T4" i="1"/>
  <c r="T13" i="1"/>
  <c r="T15" i="1"/>
  <c r="Q46" i="1"/>
  <c r="Q45" i="1"/>
  <c r="Q43" i="1"/>
  <c r="Q47" i="1"/>
  <c r="C17" i="1"/>
  <c r="Q48" i="1"/>
  <c r="Q40" i="1"/>
  <c r="Q42" i="1"/>
  <c r="Q39" i="1"/>
  <c r="Q41" i="1"/>
  <c r="Q44" i="1"/>
  <c r="Q24" i="1"/>
  <c r="Q21" i="1"/>
  <c r="Q22" i="1"/>
  <c r="Q33" i="1"/>
  <c r="Q34" i="1"/>
  <c r="Q35" i="1"/>
  <c r="Q36" i="1"/>
  <c r="Q37" i="1"/>
  <c r="Q38" i="1"/>
  <c r="Q32" i="1"/>
  <c r="T26" i="1"/>
  <c r="T22" i="1"/>
  <c r="F47" i="1"/>
  <c r="G47" i="1" s="1"/>
  <c r="K47" i="1" s="1"/>
  <c r="E36" i="3"/>
  <c r="E32" i="3"/>
  <c r="E25" i="3"/>
  <c r="E13" i="3"/>
  <c r="E31" i="3"/>
  <c r="E9" i="3"/>
  <c r="E44" i="3"/>
  <c r="E11" i="3"/>
  <c r="E40" i="3"/>
  <c r="E26" i="3"/>
  <c r="E22" i="3"/>
  <c r="E15" i="3"/>
  <c r="E10" i="3"/>
  <c r="G63" i="2"/>
  <c r="H63" i="2"/>
  <c r="G56" i="2"/>
  <c r="H56" i="2"/>
  <c r="G67" i="2"/>
  <c r="H67" i="2"/>
  <c r="G37" i="2"/>
  <c r="K13" i="2"/>
  <c r="L12" i="2"/>
  <c r="I13" i="2"/>
  <c r="G53" i="2"/>
  <c r="G68" i="2"/>
  <c r="H68" i="2"/>
  <c r="H58" i="2"/>
  <c r="G58" i="2"/>
  <c r="H54" i="2"/>
  <c r="G54" i="2"/>
  <c r="J13" i="2"/>
  <c r="G13" i="2"/>
  <c r="H66" i="2"/>
  <c r="G66" i="2"/>
  <c r="G60" i="2"/>
  <c r="H60" i="2"/>
  <c r="F12" i="2"/>
  <c r="F13" i="2"/>
  <c r="G59" i="2"/>
  <c r="H59" i="2"/>
  <c r="G55" i="2"/>
  <c r="H55" i="2"/>
  <c r="J12" i="2"/>
  <c r="D12" i="2"/>
  <c r="H13" i="2"/>
  <c r="I12" i="2"/>
  <c r="G12" i="2"/>
  <c r="E12" i="2"/>
  <c r="I67" i="2"/>
  <c r="J67" i="2"/>
  <c r="I63" i="2"/>
  <c r="J63" i="2"/>
  <c r="F65" i="2"/>
  <c r="F61" i="2"/>
  <c r="G61" i="2"/>
  <c r="F57" i="2"/>
  <c r="H57" i="2"/>
  <c r="F53" i="2"/>
  <c r="H53" i="2"/>
  <c r="G57" i="2"/>
  <c r="E14" i="1"/>
  <c r="G143" i="2"/>
  <c r="H143" i="2"/>
  <c r="G127" i="2"/>
  <c r="H127" i="2"/>
  <c r="G111" i="2"/>
  <c r="H111" i="2"/>
  <c r="G95" i="2"/>
  <c r="H95" i="2"/>
  <c r="G79" i="2"/>
  <c r="H79" i="2"/>
  <c r="H61" i="2"/>
  <c r="H65" i="2"/>
  <c r="G65" i="2"/>
  <c r="H137" i="2"/>
  <c r="G137" i="2"/>
  <c r="H121" i="2"/>
  <c r="G121" i="2"/>
  <c r="H105" i="2"/>
  <c r="G105" i="2"/>
  <c r="H89" i="2"/>
  <c r="G89" i="2"/>
  <c r="H73" i="2"/>
  <c r="G73" i="2"/>
  <c r="G131" i="2"/>
  <c r="H131" i="2"/>
  <c r="G115" i="2"/>
  <c r="H115" i="2"/>
  <c r="G99" i="2"/>
  <c r="H99" i="2"/>
  <c r="G83" i="2"/>
  <c r="H83" i="2"/>
  <c r="G141" i="2"/>
  <c r="H141" i="2"/>
  <c r="G125" i="2"/>
  <c r="H125" i="2"/>
  <c r="G109" i="2"/>
  <c r="H109" i="2"/>
  <c r="G93" i="2"/>
  <c r="H93" i="2"/>
  <c r="G77" i="2"/>
  <c r="H77" i="2"/>
  <c r="G135" i="2"/>
  <c r="H135" i="2"/>
  <c r="G119" i="2"/>
  <c r="H119" i="2"/>
  <c r="G103" i="2"/>
  <c r="H103" i="2"/>
  <c r="G87" i="2"/>
  <c r="H87" i="2"/>
  <c r="G71" i="2"/>
  <c r="H71" i="2"/>
  <c r="H145" i="2"/>
  <c r="G145" i="2"/>
  <c r="H129" i="2"/>
  <c r="G129" i="2"/>
  <c r="H113" i="2"/>
  <c r="G113" i="2"/>
  <c r="H97" i="2"/>
  <c r="G97" i="2"/>
  <c r="H81" i="2"/>
  <c r="G81" i="2"/>
  <c r="G139" i="2"/>
  <c r="H139" i="2"/>
  <c r="G123" i="2"/>
  <c r="H123" i="2"/>
  <c r="G107" i="2"/>
  <c r="H107" i="2"/>
  <c r="G91" i="2"/>
  <c r="H91" i="2"/>
  <c r="G75" i="2"/>
  <c r="H75" i="2"/>
  <c r="G133" i="2"/>
  <c r="H133" i="2"/>
  <c r="G117" i="2"/>
  <c r="H117" i="2"/>
  <c r="G101" i="2"/>
  <c r="H101" i="2"/>
  <c r="G85" i="2"/>
  <c r="H85" i="2"/>
  <c r="G69" i="2"/>
  <c r="H69" i="2"/>
  <c r="H62" i="2"/>
  <c r="G62" i="2"/>
  <c r="F50" i="2"/>
  <c r="H50" i="2" s="1"/>
  <c r="M12" i="2"/>
  <c r="O13" i="2"/>
  <c r="E17" i="3"/>
  <c r="I66" i="2"/>
  <c r="J66" i="2"/>
  <c r="G64" i="2"/>
  <c r="J52" i="2"/>
  <c r="E18" i="2"/>
  <c r="D18" i="2"/>
  <c r="G36" i="2" l="1"/>
  <c r="H36" i="2"/>
  <c r="G49" i="2"/>
  <c r="H49" i="2"/>
  <c r="H25" i="2"/>
  <c r="G25" i="2"/>
  <c r="I42" i="2"/>
  <c r="J42" i="2" s="1"/>
  <c r="G42" i="2"/>
  <c r="H27" i="2"/>
  <c r="I49" i="2"/>
  <c r="J49" i="2" s="1"/>
  <c r="F22" i="2"/>
  <c r="I40" i="2"/>
  <c r="J40" i="2" s="1"/>
  <c r="P73" i="1"/>
  <c r="I48" i="2"/>
  <c r="J48" i="2" s="1"/>
  <c r="I26" i="2"/>
  <c r="J26" i="2" s="1"/>
  <c r="H35" i="2"/>
  <c r="I47" i="2"/>
  <c r="J47" i="2" s="1"/>
  <c r="I25" i="2"/>
  <c r="J25" i="2" s="1"/>
  <c r="I21" i="2"/>
  <c r="J21" i="2" s="1"/>
  <c r="I36" i="2"/>
  <c r="J36" i="2" s="1"/>
  <c r="P60" i="1"/>
  <c r="G60" i="1"/>
  <c r="K60" i="1" s="1"/>
  <c r="P81" i="1"/>
  <c r="R81" i="1" s="1"/>
  <c r="G26" i="1"/>
  <c r="J26" i="1" s="1"/>
  <c r="E7" i="3"/>
  <c r="E23" i="3"/>
  <c r="F29" i="1"/>
  <c r="P29" i="1" s="1"/>
  <c r="F33" i="1"/>
  <c r="T5" i="1"/>
  <c r="P78" i="1"/>
  <c r="R78" i="1" s="1"/>
  <c r="F39" i="1"/>
  <c r="P39" i="1" s="1"/>
  <c r="G75" i="1"/>
  <c r="K75" i="1" s="1"/>
  <c r="P75" i="1"/>
  <c r="P63" i="1"/>
  <c r="G63" i="1"/>
  <c r="K63" i="1" s="1"/>
  <c r="P32" i="1"/>
  <c r="G32" i="1"/>
  <c r="H32" i="1" s="1"/>
  <c r="R56" i="1"/>
  <c r="P50" i="1"/>
  <c r="R50" i="1" s="1"/>
  <c r="G50" i="1"/>
  <c r="J50" i="1" s="1"/>
  <c r="P49" i="1"/>
  <c r="G49" i="1"/>
  <c r="J49" i="1" s="1"/>
  <c r="P30" i="1"/>
  <c r="G30" i="1"/>
  <c r="J30" i="1" s="1"/>
  <c r="P70" i="1"/>
  <c r="G70" i="1"/>
  <c r="K70" i="1" s="1"/>
  <c r="R26" i="1"/>
  <c r="F25" i="1"/>
  <c r="G24" i="1"/>
  <c r="K24" i="1" s="1"/>
  <c r="G56" i="1"/>
  <c r="J56" i="1" s="1"/>
  <c r="G29" i="1"/>
  <c r="J29" i="1" s="1"/>
  <c r="E29" i="3"/>
  <c r="G35" i="1"/>
  <c r="K35" i="1" s="1"/>
  <c r="P82" i="1"/>
  <c r="R82" i="1" s="1"/>
  <c r="G83" i="1"/>
  <c r="K83" i="1" s="1"/>
  <c r="P83" i="1"/>
  <c r="R83" i="1" s="1"/>
  <c r="H21" i="2"/>
  <c r="G21" i="2"/>
  <c r="H30" i="2"/>
  <c r="G30" i="2"/>
  <c r="H45" i="2"/>
  <c r="G45" i="2"/>
  <c r="G32" i="2"/>
  <c r="H32" i="2"/>
  <c r="I30" i="2"/>
  <c r="J30" i="2" s="1"/>
  <c r="F43" i="2"/>
  <c r="H43" i="2" s="1"/>
  <c r="G34" i="2"/>
  <c r="F23" i="2"/>
  <c r="H23" i="2" s="1"/>
  <c r="I28" i="2"/>
  <c r="J28" i="2" s="1"/>
  <c r="G39" i="2"/>
  <c r="I45" i="2"/>
  <c r="J45" i="2" s="1"/>
  <c r="F44" i="2"/>
  <c r="H44" i="2" s="1"/>
  <c r="I39" i="2"/>
  <c r="J39" i="2" s="1"/>
  <c r="I35" i="2"/>
  <c r="J35" i="2" s="1"/>
  <c r="I24" i="2"/>
  <c r="J24" i="2" s="1"/>
  <c r="G50" i="2"/>
  <c r="G44" i="2"/>
  <c r="P67" i="1"/>
  <c r="G67" i="1"/>
  <c r="J67" i="1" s="1"/>
  <c r="P58" i="1"/>
  <c r="R58" i="1" s="1"/>
  <c r="G58" i="1"/>
  <c r="K58" i="1" s="1"/>
  <c r="G69" i="1"/>
  <c r="K69" i="1" s="1"/>
  <c r="P69" i="1"/>
  <c r="G62" i="1"/>
  <c r="K62" i="1" s="1"/>
  <c r="P62" i="1"/>
  <c r="R62" i="1" s="1"/>
  <c r="P57" i="1"/>
  <c r="G57" i="1"/>
  <c r="J57" i="1" s="1"/>
  <c r="G74" i="1"/>
  <c r="K74" i="1" s="1"/>
  <c r="P74" i="1"/>
  <c r="G61" i="1"/>
  <c r="K61" i="1" s="1"/>
  <c r="P61" i="1"/>
  <c r="P48" i="1"/>
  <c r="G48" i="1"/>
  <c r="K48" i="1" s="1"/>
  <c r="G23" i="1"/>
  <c r="J23" i="1" s="1"/>
  <c r="P23" i="1"/>
  <c r="P68" i="1"/>
  <c r="R68" i="1" s="1"/>
  <c r="G68" i="1"/>
  <c r="K68" i="1" s="1"/>
  <c r="G43" i="1"/>
  <c r="J43" i="1" s="1"/>
  <c r="P43" i="1"/>
  <c r="P34" i="1"/>
  <c r="G34" i="1"/>
  <c r="K34" i="1" s="1"/>
  <c r="P28" i="1"/>
  <c r="G28" i="1"/>
  <c r="J28" i="1" s="1"/>
  <c r="G72" i="1"/>
  <c r="K72" i="1" s="1"/>
  <c r="P72" i="1"/>
  <c r="P55" i="1"/>
  <c r="G55" i="1"/>
  <c r="J55" i="1" s="1"/>
  <c r="G51" i="1"/>
  <c r="K51" i="1" s="1"/>
  <c r="P51" i="1"/>
  <c r="G71" i="1"/>
  <c r="P71" i="1"/>
  <c r="P64" i="1"/>
  <c r="G64" i="1"/>
  <c r="K64" i="1" s="1"/>
  <c r="P46" i="1"/>
  <c r="G46" i="1"/>
  <c r="J46" i="1" s="1"/>
  <c r="G27" i="1"/>
  <c r="J27" i="1" s="1"/>
  <c r="P27" i="1"/>
  <c r="P79" i="1"/>
  <c r="G79" i="1"/>
  <c r="K79" i="1" s="1"/>
  <c r="P80" i="1"/>
  <c r="G80" i="1"/>
  <c r="K80" i="1" s="1"/>
  <c r="P41" i="1"/>
  <c r="G41" i="1"/>
  <c r="J41" i="1" s="1"/>
  <c r="G31" i="1"/>
  <c r="J31" i="1" s="1"/>
  <c r="P31" i="1"/>
  <c r="P77" i="1"/>
  <c r="G77" i="1"/>
  <c r="K77" i="1" s="1"/>
  <c r="G22" i="1"/>
  <c r="I22" i="1" s="1"/>
  <c r="P22" i="1"/>
  <c r="G36" i="1"/>
  <c r="J36" i="1" s="1"/>
  <c r="P36" i="1"/>
  <c r="G76" i="1"/>
  <c r="K76" i="1" s="1"/>
  <c r="P76" i="1"/>
  <c r="E16" i="3"/>
  <c r="R75" i="1"/>
  <c r="R32" i="1"/>
  <c r="E19" i="3"/>
  <c r="P21" i="1"/>
  <c r="R21" i="1" s="1"/>
  <c r="G45" i="1"/>
  <c r="J45" i="1" s="1"/>
  <c r="P65" i="1"/>
  <c r="R65" i="1" s="1"/>
  <c r="T10" i="1"/>
  <c r="T21" i="1"/>
  <c r="T12" i="1"/>
  <c r="T14" i="1"/>
  <c r="T25" i="1"/>
  <c r="T11" i="1"/>
  <c r="P37" i="1"/>
  <c r="R37" i="1" s="1"/>
  <c r="P40" i="1"/>
  <c r="R40" i="1" s="1"/>
  <c r="G54" i="1"/>
  <c r="J54" i="1" s="1"/>
  <c r="E30" i="3"/>
  <c r="P47" i="1"/>
  <c r="R47" i="1" s="1"/>
  <c r="T18" i="1"/>
  <c r="T20" i="1"/>
  <c r="T9" i="1"/>
  <c r="P59" i="1"/>
  <c r="R59" i="1" s="1"/>
  <c r="G73" i="1"/>
  <c r="K73" i="1" s="1"/>
  <c r="P53" i="1"/>
  <c r="R53" i="1" s="1"/>
  <c r="G42" i="1"/>
  <c r="K42" i="1" s="1"/>
  <c r="P44" i="1"/>
  <c r="R44" i="1" s="1"/>
  <c r="T19" i="1"/>
  <c r="T24" i="1"/>
  <c r="T2" i="1"/>
  <c r="T8" i="1"/>
  <c r="G66" i="1"/>
  <c r="K66" i="1" s="1"/>
  <c r="T23" i="1"/>
  <c r="T17" i="1"/>
  <c r="T7" i="1"/>
  <c r="G52" i="1"/>
  <c r="K52" i="1" s="1"/>
  <c r="P38" i="1"/>
  <c r="R38" i="1" s="1"/>
  <c r="E47" i="3"/>
  <c r="T27" i="1"/>
  <c r="E27" i="3"/>
  <c r="T16" i="1"/>
  <c r="H46" i="2"/>
  <c r="G46" i="2"/>
  <c r="G51" i="2"/>
  <c r="H51" i="2"/>
  <c r="F41" i="2"/>
  <c r="H41" i="2" s="1"/>
  <c r="I41" i="2"/>
  <c r="J41" i="2" s="1"/>
  <c r="H26" i="2"/>
  <c r="G26" i="2"/>
  <c r="F17" i="1"/>
  <c r="F24" i="2"/>
  <c r="G24" i="2" s="1"/>
  <c r="G48" i="2"/>
  <c r="F29" i="2"/>
  <c r="H29" i="2" s="1"/>
  <c r="H22" i="2"/>
  <c r="G22" i="2"/>
  <c r="F33" i="2"/>
  <c r="H33" i="2" s="1"/>
  <c r="I33" i="2"/>
  <c r="H52" i="2"/>
  <c r="G47" i="2"/>
  <c r="G38" i="2"/>
  <c r="F40" i="2"/>
  <c r="H40" i="2" s="1"/>
  <c r="G28" i="2"/>
  <c r="G31" i="2"/>
  <c r="F18" i="2"/>
  <c r="I18" i="2"/>
  <c r="C12" i="1"/>
  <c r="C11" i="1"/>
  <c r="G29" i="2" l="1"/>
  <c r="G41" i="2"/>
  <c r="P33" i="1"/>
  <c r="G33" i="1"/>
  <c r="K33" i="1" s="1"/>
  <c r="G39" i="1"/>
  <c r="J39" i="1" s="1"/>
  <c r="R30" i="1"/>
  <c r="R35" i="1"/>
  <c r="D16" i="1"/>
  <c r="D19" i="1" s="1"/>
  <c r="R54" i="1"/>
  <c r="D15" i="1"/>
  <c r="C19" i="1" s="1"/>
  <c r="R49" i="1"/>
  <c r="R27" i="1"/>
  <c r="R60" i="1"/>
  <c r="R34" i="1"/>
  <c r="R70" i="1"/>
  <c r="R22" i="1"/>
  <c r="R45" i="1"/>
  <c r="R46" i="1"/>
  <c r="R43" i="1"/>
  <c r="R69" i="1"/>
  <c r="R76" i="1"/>
  <c r="R74" i="1"/>
  <c r="P25" i="1"/>
  <c r="G25" i="1"/>
  <c r="J25" i="1" s="1"/>
  <c r="R63" i="1"/>
  <c r="R79" i="1"/>
  <c r="R23" i="1"/>
  <c r="R29" i="1"/>
  <c r="R24" i="1"/>
  <c r="O83" i="1"/>
  <c r="G40" i="2"/>
  <c r="G43" i="2"/>
  <c r="G33" i="2"/>
  <c r="G23" i="2"/>
  <c r="C16" i="1"/>
  <c r="D18" i="1" s="1"/>
  <c r="O25" i="1"/>
  <c r="O63" i="1"/>
  <c r="O35" i="1"/>
  <c r="O24" i="1"/>
  <c r="O29" i="1"/>
  <c r="O48" i="1"/>
  <c r="O58" i="1"/>
  <c r="O82" i="1"/>
  <c r="O34" i="1"/>
  <c r="O43" i="1"/>
  <c r="O55" i="1"/>
  <c r="O61" i="1"/>
  <c r="O45" i="1"/>
  <c r="O78" i="1"/>
  <c r="O36" i="1"/>
  <c r="O52" i="1"/>
  <c r="O46" i="1"/>
  <c r="O59" i="1"/>
  <c r="O26" i="1"/>
  <c r="O41" i="1"/>
  <c r="O51" i="1"/>
  <c r="O69" i="1"/>
  <c r="O53" i="1"/>
  <c r="O40" i="1"/>
  <c r="O31" i="1"/>
  <c r="O44" i="1"/>
  <c r="O37" i="1"/>
  <c r="O65" i="1"/>
  <c r="O71" i="1"/>
  <c r="O47" i="1"/>
  <c r="O54" i="1"/>
  <c r="O72" i="1"/>
  <c r="O76" i="1"/>
  <c r="O81" i="1"/>
  <c r="O75" i="1"/>
  <c r="O73" i="1"/>
  <c r="O22" i="1"/>
  <c r="O32" i="1"/>
  <c r="O23" i="1"/>
  <c r="O79" i="1"/>
  <c r="O77" i="1"/>
  <c r="O70" i="1"/>
  <c r="O27" i="1"/>
  <c r="O28" i="1"/>
  <c r="O50" i="1"/>
  <c r="O67" i="1"/>
  <c r="O74" i="1"/>
  <c r="O33" i="1"/>
  <c r="O62" i="1"/>
  <c r="O64" i="1"/>
  <c r="O49" i="1"/>
  <c r="O38" i="1"/>
  <c r="O80" i="1"/>
  <c r="O21" i="1"/>
  <c r="O42" i="1"/>
  <c r="O60" i="1"/>
  <c r="O57" i="1"/>
  <c r="O68" i="1"/>
  <c r="O30" i="1"/>
  <c r="O56" i="1"/>
  <c r="O39" i="1"/>
  <c r="C15" i="1"/>
  <c r="C18" i="1" s="1"/>
  <c r="O66" i="1"/>
  <c r="R77" i="1"/>
  <c r="R64" i="1"/>
  <c r="R72" i="1"/>
  <c r="R73" i="1"/>
  <c r="R61" i="1"/>
  <c r="R36" i="1"/>
  <c r="R31" i="1"/>
  <c r="R71" i="1"/>
  <c r="R66" i="1"/>
  <c r="K71" i="1"/>
  <c r="R42" i="1"/>
  <c r="R28" i="1"/>
  <c r="R41" i="1"/>
  <c r="R51" i="1"/>
  <c r="R39" i="1"/>
  <c r="R48" i="1"/>
  <c r="R57" i="1"/>
  <c r="R80" i="1"/>
  <c r="R55" i="1"/>
  <c r="R52" i="1"/>
  <c r="R67" i="1"/>
  <c r="M6" i="2"/>
  <c r="J33" i="2"/>
  <c r="H24" i="2"/>
  <c r="G18" i="2"/>
  <c r="J18" i="2"/>
  <c r="H18" i="2"/>
  <c r="R33" i="1" l="1"/>
  <c r="R25" i="1"/>
  <c r="M5" i="2"/>
  <c r="M3" i="2"/>
  <c r="O67" i="2" s="1"/>
  <c r="F18" i="1"/>
  <c r="F19" i="1" s="1"/>
  <c r="M4" i="2"/>
  <c r="M2" i="2"/>
  <c r="M1" i="2"/>
  <c r="O115" i="2" l="1"/>
  <c r="O140" i="2"/>
  <c r="O104" i="2"/>
  <c r="O82" i="2"/>
  <c r="O130" i="2"/>
  <c r="O88" i="2"/>
  <c r="O110" i="2"/>
  <c r="O47" i="2"/>
  <c r="O98" i="2"/>
  <c r="O128" i="2"/>
  <c r="O73" i="2"/>
  <c r="O135" i="2"/>
  <c r="O133" i="2"/>
  <c r="O46" i="2"/>
  <c r="O36" i="2"/>
  <c r="O112" i="2"/>
  <c r="O129" i="2"/>
  <c r="O23" i="2"/>
  <c r="O97" i="2"/>
  <c r="O95" i="2"/>
  <c r="O93" i="2"/>
  <c r="O49" i="2"/>
  <c r="O119" i="2"/>
  <c r="O122" i="2"/>
  <c r="O134" i="2"/>
  <c r="O52" i="2"/>
  <c r="O138" i="2"/>
  <c r="O142" i="2"/>
  <c r="O68" i="2"/>
  <c r="O43" i="2"/>
  <c r="O100" i="2"/>
  <c r="O61" i="2"/>
  <c r="O111" i="2"/>
  <c r="O78" i="2"/>
  <c r="O89" i="2"/>
  <c r="O94" i="2"/>
  <c r="O114" i="2"/>
  <c r="O145" i="2"/>
  <c r="O69" i="2"/>
  <c r="O79" i="2"/>
  <c r="O109" i="2"/>
  <c r="O42" i="2"/>
  <c r="O120" i="2"/>
  <c r="O74" i="2"/>
  <c r="O90" i="2"/>
  <c r="O85" i="2"/>
  <c r="O32" i="2"/>
  <c r="O26" i="2"/>
  <c r="O125" i="2"/>
  <c r="O25" i="2"/>
  <c r="O103" i="2"/>
  <c r="O50" i="2"/>
  <c r="O58" i="2"/>
  <c r="O48" i="2"/>
  <c r="O38" i="2"/>
  <c r="O72" i="2"/>
  <c r="O44" i="2"/>
  <c r="O131" i="2"/>
  <c r="O51" i="2"/>
  <c r="O56" i="2"/>
  <c r="O24" i="2"/>
  <c r="O117" i="2"/>
  <c r="O127" i="2"/>
  <c r="O62" i="2"/>
  <c r="O99" i="2"/>
  <c r="O86" i="2"/>
  <c r="O22" i="2"/>
  <c r="O126" i="2"/>
  <c r="O53" i="2"/>
  <c r="O41" i="2"/>
  <c r="O123" i="2"/>
  <c r="O40" i="2"/>
  <c r="O27" i="2"/>
  <c r="O59" i="2"/>
  <c r="O106" i="2"/>
  <c r="O92" i="2"/>
  <c r="O60" i="2"/>
  <c r="O91" i="2"/>
  <c r="O105" i="2"/>
  <c r="O65" i="2"/>
  <c r="O118" i="2"/>
  <c r="O34" i="2"/>
  <c r="O77" i="2"/>
  <c r="O45" i="2"/>
  <c r="O66" i="2"/>
  <c r="O76" i="2"/>
  <c r="O75" i="2"/>
  <c r="O101" i="2"/>
  <c r="O141" i="2"/>
  <c r="O54" i="2"/>
  <c r="O33" i="2"/>
  <c r="O116" i="2"/>
  <c r="O96" i="2"/>
  <c r="O71" i="2"/>
  <c r="O137" i="2"/>
  <c r="O39" i="2"/>
  <c r="O55" i="2"/>
  <c r="O143" i="2"/>
  <c r="O29" i="2"/>
  <c r="O64" i="2"/>
  <c r="O144" i="2"/>
  <c r="O132" i="2"/>
  <c r="O124" i="2"/>
  <c r="O31" i="2"/>
  <c r="O63" i="2"/>
  <c r="O108" i="2"/>
  <c r="O102" i="2"/>
  <c r="O30" i="2"/>
  <c r="O28" i="2"/>
  <c r="O83" i="2"/>
  <c r="O80" i="2"/>
  <c r="O37" i="2"/>
  <c r="O139" i="2"/>
  <c r="O35" i="2"/>
  <c r="O81" i="2"/>
  <c r="O113" i="2"/>
  <c r="O136" i="2"/>
  <c r="O70" i="2"/>
  <c r="O87" i="2"/>
  <c r="O84" i="2"/>
  <c r="O107" i="2"/>
  <c r="O121" i="2"/>
  <c r="O57" i="2"/>
  <c r="O21" i="2"/>
  <c r="M140" i="2"/>
  <c r="M45" i="2"/>
  <c r="M93" i="2"/>
  <c r="M41" i="2"/>
  <c r="M98" i="2"/>
  <c r="M143" i="2"/>
  <c r="M37" i="2"/>
  <c r="M62" i="2"/>
  <c r="M47" i="2"/>
  <c r="M73" i="2"/>
  <c r="M103" i="2"/>
  <c r="M42" i="2"/>
  <c r="M119" i="2"/>
  <c r="M114" i="2"/>
  <c r="M97" i="2"/>
  <c r="M22" i="2"/>
  <c r="M108" i="2"/>
  <c r="M50" i="2"/>
  <c r="M120" i="2"/>
  <c r="M38" i="2"/>
  <c r="M56" i="2"/>
  <c r="M89" i="2"/>
  <c r="M7" i="2"/>
  <c r="E6" i="2" s="1"/>
  <c r="E9" i="2" s="1"/>
  <c r="E10" i="2" s="1"/>
  <c r="M113" i="2"/>
  <c r="M54" i="2"/>
  <c r="M35" i="2"/>
  <c r="M122" i="2"/>
  <c r="M144" i="2"/>
  <c r="M101" i="2"/>
  <c r="M68" i="2"/>
  <c r="M112" i="2"/>
  <c r="M61" i="2"/>
  <c r="M92" i="2"/>
  <c r="M65" i="2"/>
  <c r="M102" i="2"/>
  <c r="M127" i="2"/>
  <c r="M67" i="2"/>
  <c r="M130" i="2"/>
  <c r="M85" i="2"/>
  <c r="M137" i="2"/>
  <c r="M25" i="2"/>
  <c r="M96" i="2"/>
  <c r="M118" i="2"/>
  <c r="M94" i="2"/>
  <c r="M63" i="2"/>
  <c r="M88" i="2"/>
  <c r="M95" i="2"/>
  <c r="M139" i="2"/>
  <c r="M75" i="2"/>
  <c r="M133" i="2"/>
  <c r="M84" i="2"/>
  <c r="M105" i="2"/>
  <c r="M31" i="2"/>
  <c r="M106" i="2"/>
  <c r="M128" i="2"/>
  <c r="M109" i="2"/>
  <c r="M46" i="2"/>
  <c r="M71" i="2"/>
  <c r="M69" i="2"/>
  <c r="M34" i="2"/>
  <c r="M57" i="2"/>
  <c r="M60" i="2"/>
  <c r="M48" i="2"/>
  <c r="M39" i="2"/>
  <c r="M43" i="2"/>
  <c r="M30" i="2"/>
  <c r="M86" i="2"/>
  <c r="M100" i="2"/>
  <c r="M21" i="2"/>
  <c r="M142" i="2"/>
  <c r="M70" i="2"/>
  <c r="M76" i="2"/>
  <c r="M72" i="2"/>
  <c r="M115" i="2"/>
  <c r="M141" i="2"/>
  <c r="M36" i="2"/>
  <c r="M129" i="2"/>
  <c r="M90" i="2"/>
  <c r="M110" i="2"/>
  <c r="M123" i="2"/>
  <c r="M117" i="2"/>
  <c r="M87" i="2"/>
  <c r="M82" i="2"/>
  <c r="M104" i="2"/>
  <c r="M132" i="2"/>
  <c r="M24" i="2"/>
  <c r="M74" i="2"/>
  <c r="M107" i="2"/>
  <c r="M131" i="2"/>
  <c r="M134" i="2"/>
  <c r="M44" i="2"/>
  <c r="M77" i="2"/>
  <c r="M49" i="2"/>
  <c r="M23" i="2"/>
  <c r="M26" i="2"/>
  <c r="M91" i="2"/>
  <c r="M111" i="2"/>
  <c r="M116" i="2"/>
  <c r="M51" i="2"/>
  <c r="M40" i="2"/>
  <c r="M135" i="2"/>
  <c r="M78" i="2"/>
  <c r="M121" i="2"/>
  <c r="M124" i="2"/>
  <c r="M138" i="2"/>
  <c r="M79" i="2"/>
  <c r="M58" i="2"/>
  <c r="M29" i="2"/>
  <c r="M81" i="2"/>
  <c r="M55" i="2"/>
  <c r="M136" i="2"/>
  <c r="M52" i="2"/>
  <c r="M64" i="2"/>
  <c r="M33" i="2"/>
  <c r="M83" i="2"/>
  <c r="M32" i="2"/>
  <c r="M125" i="2"/>
  <c r="M59" i="2"/>
  <c r="M80" i="2"/>
  <c r="M28" i="2"/>
  <c r="M66" i="2"/>
  <c r="M145" i="2"/>
  <c r="M126" i="2"/>
  <c r="M27" i="2"/>
  <c r="M99" i="2"/>
  <c r="M53" i="2"/>
  <c r="E4" i="2"/>
  <c r="N134" i="2"/>
  <c r="N79" i="2"/>
  <c r="N128" i="2"/>
  <c r="N73" i="2"/>
  <c r="N122" i="2"/>
  <c r="N63" i="2"/>
  <c r="N78" i="2"/>
  <c r="N118" i="2"/>
  <c r="N60" i="2"/>
  <c r="N112" i="2"/>
  <c r="N48" i="2"/>
  <c r="N100" i="2"/>
  <c r="N23" i="2"/>
  <c r="N85" i="2"/>
  <c r="N90" i="2"/>
  <c r="N74" i="2"/>
  <c r="N75" i="2"/>
  <c r="N121" i="2"/>
  <c r="N27" i="2"/>
  <c r="N52" i="2"/>
  <c r="N30" i="2"/>
  <c r="N29" i="2"/>
  <c r="N64" i="2"/>
  <c r="N143" i="2"/>
  <c r="N88" i="2"/>
  <c r="N137" i="2"/>
  <c r="N67" i="2"/>
  <c r="N65" i="2"/>
  <c r="N138" i="2"/>
  <c r="N119" i="2"/>
  <c r="N41" i="2"/>
  <c r="N130" i="2"/>
  <c r="N95" i="2"/>
  <c r="N31" i="2"/>
  <c r="N98" i="2"/>
  <c r="N92" i="2"/>
  <c r="N141" i="2"/>
  <c r="N80" i="2"/>
  <c r="N42" i="2"/>
  <c r="N115" i="2"/>
  <c r="N47" i="2"/>
  <c r="N91" i="2"/>
  <c r="N35" i="2"/>
  <c r="N21" i="2"/>
  <c r="N116" i="2"/>
  <c r="N55" i="2"/>
  <c r="N66" i="2"/>
  <c r="N108" i="2"/>
  <c r="N39" i="2"/>
  <c r="N51" i="2"/>
  <c r="N61" i="2"/>
  <c r="N49" i="2"/>
  <c r="N33" i="2"/>
  <c r="N58" i="2"/>
  <c r="N76" i="2"/>
  <c r="N57" i="2"/>
  <c r="N117" i="2"/>
  <c r="N45" i="2"/>
  <c r="N83" i="2"/>
  <c r="N97" i="2"/>
  <c r="N94" i="2"/>
  <c r="N101" i="2"/>
  <c r="N77" i="2"/>
  <c r="N145" i="2"/>
  <c r="N72" i="2"/>
  <c r="N104" i="2"/>
  <c r="N89" i="2"/>
  <c r="N81" i="2"/>
  <c r="N84" i="2"/>
  <c r="N123" i="2"/>
  <c r="N144" i="2"/>
  <c r="N68" i="2"/>
  <c r="N110" i="2"/>
  <c r="N50" i="2"/>
  <c r="N32" i="2"/>
  <c r="N71" i="2"/>
  <c r="N109" i="2"/>
  <c r="N96" i="2"/>
  <c r="N24" i="2"/>
  <c r="N107" i="2"/>
  <c r="N40" i="2"/>
  <c r="N140" i="2"/>
  <c r="N126" i="2"/>
  <c r="N59" i="2"/>
  <c r="N87" i="2"/>
  <c r="N46" i="2"/>
  <c r="N44" i="2"/>
  <c r="N22" i="2"/>
  <c r="N62" i="2"/>
  <c r="N70" i="2"/>
  <c r="N102" i="2"/>
  <c r="N105" i="2"/>
  <c r="N131" i="2"/>
  <c r="N103" i="2"/>
  <c r="N106" i="2"/>
  <c r="N125" i="2"/>
  <c r="N124" i="2"/>
  <c r="N25" i="2"/>
  <c r="N127" i="2"/>
  <c r="N53" i="2"/>
  <c r="N43" i="2"/>
  <c r="N86" i="2"/>
  <c r="N114" i="2"/>
  <c r="N139" i="2"/>
  <c r="N129" i="2"/>
  <c r="N38" i="2"/>
  <c r="N56" i="2"/>
  <c r="N26" i="2"/>
  <c r="N36" i="2"/>
  <c r="N136" i="2"/>
  <c r="N69" i="2"/>
  <c r="N28" i="2"/>
  <c r="N142" i="2"/>
  <c r="N34" i="2"/>
  <c r="N99" i="2"/>
  <c r="N82" i="2"/>
  <c r="N111" i="2"/>
  <c r="N120" i="2"/>
  <c r="N54" i="2"/>
  <c r="N135" i="2"/>
  <c r="N132" i="2"/>
  <c r="N37" i="2"/>
  <c r="N113" i="2"/>
  <c r="N93" i="2"/>
  <c r="N133" i="2"/>
  <c r="O18" i="2"/>
  <c r="N18" i="2"/>
  <c r="M18" i="2"/>
  <c r="E5" i="2" l="1"/>
  <c r="K29" i="2" s="1"/>
  <c r="K43" i="2" l="1"/>
  <c r="P43" i="2" s="1"/>
  <c r="K129" i="2"/>
  <c r="P129" i="2" s="1"/>
  <c r="K70" i="2"/>
  <c r="P70" i="2" s="1"/>
  <c r="W5" i="2"/>
  <c r="W15" i="2"/>
  <c r="K44" i="2"/>
  <c r="L44" i="2" s="1"/>
  <c r="K60" i="2"/>
  <c r="P60" i="2" s="1"/>
  <c r="K113" i="2"/>
  <c r="P113" i="2" s="1"/>
  <c r="K61" i="2"/>
  <c r="L61" i="2" s="1"/>
  <c r="K59" i="2"/>
  <c r="P59" i="2" s="1"/>
  <c r="K55" i="2"/>
  <c r="L55" i="2" s="1"/>
  <c r="K111" i="2"/>
  <c r="P111" i="2" s="1"/>
  <c r="K101" i="2"/>
  <c r="L101" i="2" s="1"/>
  <c r="K94" i="2"/>
  <c r="L94" i="2" s="1"/>
  <c r="K52" i="2"/>
  <c r="L52" i="2" s="1"/>
  <c r="K68" i="2"/>
  <c r="L68" i="2" s="1"/>
  <c r="K139" i="2"/>
  <c r="P139" i="2" s="1"/>
  <c r="K26" i="2"/>
  <c r="P26" i="2" s="1"/>
  <c r="K104" i="2"/>
  <c r="L104" i="2" s="1"/>
  <c r="K140" i="2"/>
  <c r="L140" i="2" s="1"/>
  <c r="K40" i="2"/>
  <c r="L40" i="2" s="1"/>
  <c r="K96" i="2"/>
  <c r="P96" i="2" s="1"/>
  <c r="K109" i="2"/>
  <c r="P109" i="2" s="1"/>
  <c r="K112" i="2"/>
  <c r="L112" i="2" s="1"/>
  <c r="K95" i="2"/>
  <c r="L95" i="2" s="1"/>
  <c r="K90" i="2"/>
  <c r="L90" i="2" s="1"/>
  <c r="W3" i="2"/>
  <c r="K87" i="2"/>
  <c r="P87" i="2" s="1"/>
  <c r="K53" i="2"/>
  <c r="L53" i="2" s="1"/>
  <c r="K144" i="2"/>
  <c r="P144" i="2" s="1"/>
  <c r="W14" i="2"/>
  <c r="W2" i="2"/>
  <c r="K24" i="2"/>
  <c r="P24" i="2" s="1"/>
  <c r="K138" i="2"/>
  <c r="P138" i="2" s="1"/>
  <c r="K42" i="2"/>
  <c r="P42" i="2" s="1"/>
  <c r="K123" i="2"/>
  <c r="P123" i="2" s="1"/>
  <c r="K103" i="2"/>
  <c r="P103" i="2" s="1"/>
  <c r="K22" i="2"/>
  <c r="P22" i="2" s="1"/>
  <c r="K118" i="2"/>
  <c r="L118" i="2" s="1"/>
  <c r="W7" i="2"/>
  <c r="K21" i="2"/>
  <c r="L21" i="2" s="1"/>
  <c r="K134" i="2"/>
  <c r="P134" i="2" s="1"/>
  <c r="K105" i="2"/>
  <c r="P105" i="2" s="1"/>
  <c r="K33" i="2"/>
  <c r="P33" i="2" s="1"/>
  <c r="K45" i="2"/>
  <c r="P45" i="2" s="1"/>
  <c r="K89" i="2"/>
  <c r="L89" i="2" s="1"/>
  <c r="W10" i="2"/>
  <c r="K66" i="2"/>
  <c r="P66" i="2" s="1"/>
  <c r="K135" i="2"/>
  <c r="P135" i="2" s="1"/>
  <c r="K30" i="2"/>
  <c r="P30" i="2" s="1"/>
  <c r="K37" i="2"/>
  <c r="L37" i="2" s="1"/>
  <c r="K114" i="2"/>
  <c r="L114" i="2" s="1"/>
  <c r="K128" i="2"/>
  <c r="P128" i="2" s="1"/>
  <c r="K34" i="2"/>
  <c r="P34" i="2" s="1"/>
  <c r="W18" i="2"/>
  <c r="K100" i="2"/>
  <c r="P100" i="2" s="1"/>
  <c r="W19" i="2"/>
  <c r="K116" i="2"/>
  <c r="P116" i="2" s="1"/>
  <c r="K36" i="2"/>
  <c r="L36" i="2" s="1"/>
  <c r="K57" i="2"/>
  <c r="P57" i="2" s="1"/>
  <c r="K91" i="2"/>
  <c r="P91" i="2" s="1"/>
  <c r="K143" i="2"/>
  <c r="L143" i="2" s="1"/>
  <c r="W12" i="2"/>
  <c r="K117" i="2"/>
  <c r="L117" i="2" s="1"/>
  <c r="K145" i="2"/>
  <c r="P145" i="2" s="1"/>
  <c r="K93" i="2"/>
  <c r="L93" i="2" s="1"/>
  <c r="K102" i="2"/>
  <c r="L102" i="2" s="1"/>
  <c r="K77" i="2"/>
  <c r="L77" i="2" s="1"/>
  <c r="K107" i="2"/>
  <c r="L107" i="2" s="1"/>
  <c r="K137" i="2"/>
  <c r="P137" i="2" s="1"/>
  <c r="K65" i="2"/>
  <c r="P65" i="2" s="1"/>
  <c r="W13" i="2"/>
  <c r="K84" i="2"/>
  <c r="L84" i="2" s="1"/>
  <c r="K67" i="2"/>
  <c r="P67" i="2" s="1"/>
  <c r="K92" i="2"/>
  <c r="L92" i="2" s="1"/>
  <c r="L29" i="2"/>
  <c r="P29" i="2"/>
  <c r="K64" i="2"/>
  <c r="K80" i="2"/>
  <c r="K136" i="2"/>
  <c r="K35" i="2"/>
  <c r="K110" i="2"/>
  <c r="K81" i="2"/>
  <c r="K47" i="2"/>
  <c r="W6" i="2"/>
  <c r="K49" i="2"/>
  <c r="K31" i="2"/>
  <c r="K99" i="2"/>
  <c r="W4" i="2"/>
  <c r="K39" i="2"/>
  <c r="K141" i="2"/>
  <c r="K63" i="2"/>
  <c r="K23" i="2"/>
  <c r="K125" i="2"/>
  <c r="K72" i="2"/>
  <c r="K54" i="2"/>
  <c r="K119" i="2"/>
  <c r="K126" i="2"/>
  <c r="K131" i="2"/>
  <c r="W20" i="2"/>
  <c r="K97" i="2"/>
  <c r="K127" i="2"/>
  <c r="K120" i="2"/>
  <c r="K51" i="2"/>
  <c r="K106" i="2"/>
  <c r="K115" i="2"/>
  <c r="K41" i="2"/>
  <c r="K142" i="2"/>
  <c r="K124" i="2"/>
  <c r="K46" i="2"/>
  <c r="K62" i="2"/>
  <c r="P104" i="2"/>
  <c r="K121" i="2"/>
  <c r="K98" i="2"/>
  <c r="K25" i="2"/>
  <c r="K130" i="2"/>
  <c r="K82" i="2"/>
  <c r="K108" i="2"/>
  <c r="K76" i="2"/>
  <c r="K122" i="2"/>
  <c r="K38" i="2"/>
  <c r="K88" i="2"/>
  <c r="K28" i="2"/>
  <c r="K85" i="2"/>
  <c r="W11" i="2"/>
  <c r="W8" i="2"/>
  <c r="W21" i="2"/>
  <c r="K78" i="2"/>
  <c r="K56" i="2"/>
  <c r="W17" i="2"/>
  <c r="K75" i="2"/>
  <c r="K133" i="2"/>
  <c r="K74" i="2"/>
  <c r="K83" i="2"/>
  <c r="W16" i="2"/>
  <c r="K69" i="2"/>
  <c r="K73" i="2"/>
  <c r="K71" i="2"/>
  <c r="K132" i="2"/>
  <c r="K50" i="2"/>
  <c r="K79" i="2"/>
  <c r="K27" i="2"/>
  <c r="K86" i="2"/>
  <c r="K48" i="2"/>
  <c r="K32" i="2"/>
  <c r="W9" i="2"/>
  <c r="K58" i="2"/>
  <c r="P94" i="2" l="1"/>
  <c r="L26" i="2"/>
  <c r="L134" i="2"/>
  <c r="L30" i="2"/>
  <c r="L59" i="2"/>
  <c r="L113" i="2"/>
  <c r="L100" i="2"/>
  <c r="P112" i="2"/>
  <c r="L123" i="2"/>
  <c r="P114" i="2"/>
  <c r="P52" i="2"/>
  <c r="L60" i="2"/>
  <c r="L109" i="2"/>
  <c r="P37" i="2"/>
  <c r="P92" i="2"/>
  <c r="L105" i="2"/>
  <c r="L42" i="2"/>
  <c r="P102" i="2"/>
  <c r="L70" i="2"/>
  <c r="L66" i="2"/>
  <c r="P93" i="2"/>
  <c r="L67" i="2"/>
  <c r="L129" i="2"/>
  <c r="L116" i="2"/>
  <c r="L24" i="2"/>
  <c r="P95" i="2"/>
  <c r="P55" i="2"/>
  <c r="P90" i="2"/>
  <c r="L145" i="2"/>
  <c r="L65" i="2"/>
  <c r="L34" i="2"/>
  <c r="P84" i="2"/>
  <c r="P89" i="2"/>
  <c r="P68" i="2"/>
  <c r="L43" i="2"/>
  <c r="L139" i="2"/>
  <c r="P117" i="2"/>
  <c r="L96" i="2"/>
  <c r="P61" i="2"/>
  <c r="P44" i="2"/>
  <c r="L111" i="2"/>
  <c r="L22" i="2"/>
  <c r="L138" i="2"/>
  <c r="L137" i="2"/>
  <c r="L144" i="2"/>
  <c r="P53" i="2"/>
  <c r="P143" i="2"/>
  <c r="P21" i="2"/>
  <c r="L135" i="2"/>
  <c r="L91" i="2"/>
  <c r="P40" i="2"/>
  <c r="L57" i="2"/>
  <c r="P140" i="2"/>
  <c r="L128" i="2"/>
  <c r="P101" i="2"/>
  <c r="L103" i="2"/>
  <c r="P118" i="2"/>
  <c r="L45" i="2"/>
  <c r="P107" i="2"/>
  <c r="P77" i="2"/>
  <c r="L33" i="2"/>
  <c r="P36" i="2"/>
  <c r="L87" i="2"/>
  <c r="P133" i="2"/>
  <c r="L133" i="2"/>
  <c r="P98" i="2"/>
  <c r="L98" i="2"/>
  <c r="L58" i="2"/>
  <c r="P58" i="2"/>
  <c r="L132" i="2"/>
  <c r="P132" i="2"/>
  <c r="L75" i="2"/>
  <c r="P75" i="2"/>
  <c r="L56" i="2"/>
  <c r="P56" i="2"/>
  <c r="L38" i="2"/>
  <c r="P38" i="2"/>
  <c r="P121" i="2"/>
  <c r="L121" i="2"/>
  <c r="L51" i="2"/>
  <c r="P51" i="2"/>
  <c r="L63" i="2"/>
  <c r="P63" i="2"/>
  <c r="L47" i="2"/>
  <c r="P47" i="2"/>
  <c r="L136" i="2"/>
  <c r="P136" i="2"/>
  <c r="L50" i="2"/>
  <c r="P50" i="2"/>
  <c r="P71" i="2"/>
  <c r="L71" i="2"/>
  <c r="P78" i="2"/>
  <c r="L78" i="2"/>
  <c r="L122" i="2"/>
  <c r="P122" i="2"/>
  <c r="L62" i="2"/>
  <c r="P62" i="2"/>
  <c r="L120" i="2"/>
  <c r="P120" i="2"/>
  <c r="L141" i="2"/>
  <c r="P141" i="2"/>
  <c r="L80" i="2"/>
  <c r="P80" i="2"/>
  <c r="L88" i="2"/>
  <c r="P88" i="2"/>
  <c r="P76" i="2"/>
  <c r="L76" i="2"/>
  <c r="P46" i="2"/>
  <c r="L46" i="2"/>
  <c r="P127" i="2"/>
  <c r="L127" i="2"/>
  <c r="P39" i="2"/>
  <c r="L39" i="2"/>
  <c r="L64" i="2"/>
  <c r="P64" i="2"/>
  <c r="P23" i="2"/>
  <c r="L23" i="2"/>
  <c r="L35" i="2"/>
  <c r="P35" i="2"/>
  <c r="P32" i="2"/>
  <c r="L32" i="2"/>
  <c r="L48" i="2"/>
  <c r="P48" i="2"/>
  <c r="L69" i="2"/>
  <c r="P69" i="2"/>
  <c r="P108" i="2"/>
  <c r="L108" i="2"/>
  <c r="L124" i="2"/>
  <c r="P124" i="2"/>
  <c r="P97" i="2"/>
  <c r="L97" i="2"/>
  <c r="L119" i="2"/>
  <c r="P119" i="2"/>
  <c r="L106" i="2"/>
  <c r="P106" i="2"/>
  <c r="P86" i="2"/>
  <c r="L86" i="2"/>
  <c r="P82" i="2"/>
  <c r="L82" i="2"/>
  <c r="L142" i="2"/>
  <c r="P142" i="2"/>
  <c r="P54" i="2"/>
  <c r="L54" i="2"/>
  <c r="P99" i="2"/>
  <c r="L99" i="2"/>
  <c r="P73" i="2"/>
  <c r="L73" i="2"/>
  <c r="L27" i="2"/>
  <c r="P27" i="2"/>
  <c r="L83" i="2"/>
  <c r="P83" i="2"/>
  <c r="L85" i="2"/>
  <c r="P85" i="2"/>
  <c r="P130" i="2"/>
  <c r="L130" i="2"/>
  <c r="L41" i="2"/>
  <c r="P41" i="2"/>
  <c r="P131" i="2"/>
  <c r="L131" i="2"/>
  <c r="L72" i="2"/>
  <c r="P72" i="2"/>
  <c r="L31" i="2"/>
  <c r="P31" i="2"/>
  <c r="L81" i="2"/>
  <c r="P81" i="2"/>
  <c r="L79" i="2"/>
  <c r="P79" i="2"/>
  <c r="L74" i="2"/>
  <c r="P74" i="2"/>
  <c r="L28" i="2"/>
  <c r="P28" i="2"/>
  <c r="L25" i="2"/>
  <c r="P25" i="2"/>
  <c r="P115" i="2"/>
  <c r="L115" i="2"/>
  <c r="L126" i="2"/>
  <c r="P126" i="2"/>
  <c r="L125" i="2"/>
  <c r="P125" i="2"/>
  <c r="L49" i="2"/>
  <c r="P49" i="2"/>
  <c r="P110" i="2"/>
  <c r="L110" i="2"/>
  <c r="L18" i="2"/>
  <c r="E7" i="2" l="1"/>
  <c r="F4" i="2" l="1"/>
  <c r="H4" i="2" s="1"/>
  <c r="F6" i="2"/>
  <c r="H6" i="2" s="1"/>
  <c r="F9" i="2" s="1"/>
  <c r="F10" i="2" s="1"/>
  <c r="F5" i="2"/>
  <c r="H5" i="2" s="1"/>
  <c r="F8" i="2"/>
  <c r="G9" i="2" l="1"/>
</calcChain>
</file>

<file path=xl/sharedStrings.xml><?xml version="1.0" encoding="utf-8"?>
<sst xmlns="http://schemas.openxmlformats.org/spreadsheetml/2006/main" count="586" uniqueCount="299">
  <si>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</si>
  <si>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</si>
  <si>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</si>
  <si>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</si>
  <si>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</si>
  <si>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</si>
  <si>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</si>
  <si>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</si>
  <si>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</si>
  <si>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</si>
  <si>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</si>
  <si>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</si>
  <si>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</si>
  <si>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</si>
  <si>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</si>
  <si>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</si>
  <si>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</si>
  <si>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</si>
  <si>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</si>
  <si>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</si>
  <si>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</si>
  <si>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</si>
  <si>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</si>
  <si>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</si>
  <si>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not avail.</t>
  </si>
  <si>
    <t># of data points:</t>
  </si>
  <si>
    <t>ASAS</t>
  </si>
  <si>
    <t>IBVS 5438</t>
  </si>
  <si>
    <t>II</t>
  </si>
  <si>
    <t>IBVS 5653</t>
  </si>
  <si>
    <t>I</t>
  </si>
  <si>
    <t>IBVS 5731</t>
  </si>
  <si>
    <t>IBVS 5713</t>
  </si>
  <si>
    <t>V1033 Her / GSC 02066-01210</t>
  </si>
  <si>
    <t>ROTSE1 J165039.95+274420.0</t>
  </si>
  <si>
    <t>IBVS 5060</t>
  </si>
  <si>
    <t>IBVS 5146</t>
  </si>
  <si>
    <t>EW?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</si>
  <si>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</si>
  <si>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</si>
  <si>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</si>
  <si>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</si>
  <si>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</si>
  <si>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</si>
  <si>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5802</t>
  </si>
  <si>
    <t>Start of linear fit &gt;&gt;&gt;&gt;&gt;&gt;&gt;&gt;&gt;&gt;&gt;&gt;&gt;&gt;&gt;&gt;&gt;&gt;&gt;&gt;&gt;</t>
  </si>
  <si>
    <t>IBVS 5871</t>
  </si>
  <si>
    <t>IBVS 5874</t>
  </si>
  <si>
    <t>IBVS 5929</t>
  </si>
  <si>
    <t>Q.Fit</t>
  </si>
  <si>
    <t>Or &gt;&gt;&gt;&gt;&gt;&gt;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</si>
  <si>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</si>
  <si>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</si>
  <si>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</si>
  <si>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</si>
  <si>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</si>
  <si>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</si>
  <si>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</si>
  <si>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</si>
  <si>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</si>
  <si>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</si>
  <si>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</si>
  <si>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</si>
  <si>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</si>
  <si>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</si>
  <si>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</si>
  <si>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</si>
  <si>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</si>
  <si>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</si>
  <si>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</si>
  <si>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</si>
  <si>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</si>
  <si>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</si>
  <si>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</si>
  <si>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</si>
  <si>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</si>
  <si>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</si>
  <si>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</si>
  <si>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</si>
  <si>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</si>
  <si>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</si>
  <si>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</si>
  <si>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</si>
  <si>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</si>
  <si>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</si>
  <si>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</si>
  <si>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</si>
  <si>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</si>
  <si>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</si>
  <si>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</si>
  <si>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</si>
  <si>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</si>
  <si>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</si>
  <si>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</si>
  <si>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</si>
  <si>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</si>
  <si>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</si>
  <si>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</si>
  <si>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</si>
  <si>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</si>
  <si>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</si>
  <si>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</si>
  <si>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</si>
  <si>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</si>
  <si>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</si>
  <si>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</si>
  <si>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</si>
  <si>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</si>
  <si>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</si>
  <si>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</si>
  <si>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</si>
  <si>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</si>
  <si>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</si>
  <si>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</si>
  <si>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</si>
  <si>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</si>
  <si>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</si>
  <si>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</si>
  <si>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</si>
  <si>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</si>
  <si>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</si>
  <si>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</si>
  <si>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</si>
  <si>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</si>
  <si>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</si>
  <si>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</si>
  <si>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</si>
  <si>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</si>
  <si>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</si>
  <si>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5920</t>
  </si>
  <si>
    <t>IBVS 5945</t>
  </si>
  <si>
    <t>IBVS 5918</t>
  </si>
  <si>
    <t>IBVS 5959</t>
  </si>
  <si>
    <t>IBVS 5992</t>
  </si>
  <si>
    <t>IBVS 6010</t>
  </si>
  <si>
    <t>IBVS 6029</t>
  </si>
  <si>
    <t>IBVS 6041</t>
  </si>
  <si>
    <t>IBVS 6070</t>
  </si>
  <si>
    <t>Minima of V1033 Her from the Lichtenknecker Database of the BAV</t>
  </si>
  <si>
    <t>http://www.bav-astro.de/LkDB/index.php</t>
  </si>
  <si>
    <t> 26.05.2001 21:53 </t>
  </si>
  <si>
    <t> 0.0087 </t>
  </si>
  <si>
    <t>?</t>
  </si>
  <si>
    <t> E.Blättler </t>
  </si>
  <si>
    <t> BBS 126 </t>
  </si>
  <si>
    <t> 27.05.2001 01:33 </t>
  </si>
  <si>
    <t> 0.0121 </t>
  </si>
  <si>
    <t> 29.05.2001 00:01 </t>
  </si>
  <si>
    <t> 0.0108 </t>
  </si>
  <si>
    <t> 05.06.2001 00:08 </t>
  </si>
  <si>
    <t> 0.0116 </t>
  </si>
  <si>
    <t> 12.06.2001 21:38 </t>
  </si>
  <si>
    <t> 0.0092 </t>
  </si>
  <si>
    <t> 13.06.2001 01:18 </t>
  </si>
  <si>
    <t> 0.0128 </t>
  </si>
  <si>
    <t> 14.06.2001 23:47 </t>
  </si>
  <si>
    <t> 0.0120 </t>
  </si>
  <si>
    <t> 16.05.2002 21:26 </t>
  </si>
  <si>
    <t> 0.0101 </t>
  </si>
  <si>
    <t> BBS 128 </t>
  </si>
  <si>
    <t> 04.05.2003 22:21 </t>
  </si>
  <si>
    <t> 0.0056 </t>
  </si>
  <si>
    <t> BBS 129 </t>
  </si>
  <si>
    <t> 29.07.2004 22:10 </t>
  </si>
  <si>
    <t> 0.002 </t>
  </si>
  <si>
    <t>IBVS 5653 </t>
  </si>
  <si>
    <t> 30.07.2004 01:43 </t>
  </si>
  <si>
    <t> 0.0015 </t>
  </si>
  <si>
    <t> 13.07.2005 22:34 </t>
  </si>
  <si>
    <t> 0.0003 </t>
  </si>
  <si>
    <t>-I</t>
  </si>
  <si>
    <t> F.Agerer </t>
  </si>
  <si>
    <t>BAVM 178 </t>
  </si>
  <si>
    <t> 31.08.2005 19:43 </t>
  </si>
  <si>
    <t>3738</t>
  </si>
  <si>
    <t> 0.0008 </t>
  </si>
  <si>
    <t>IBVS 5713 </t>
  </si>
  <si>
    <t> 30.06.2006 22:35 </t>
  </si>
  <si>
    <t>4755</t>
  </si>
  <si>
    <t> 0.001 </t>
  </si>
  <si>
    <t> 19.04.2007 22:09 </t>
  </si>
  <si>
    <t>5738</t>
  </si>
  <si>
    <t> -0.0017 </t>
  </si>
  <si>
    <t>BAVM 186 </t>
  </si>
  <si>
    <t> 19.04.2007 22:10 </t>
  </si>
  <si>
    <t> -0.0010 </t>
  </si>
  <si>
    <t>o</t>
  </si>
  <si>
    <t> BBS 133 (=IBVS 5781) </t>
  </si>
  <si>
    <t> 20.04.2007 01:45 </t>
  </si>
  <si>
    <t>5738.5</t>
  </si>
  <si>
    <t> -0.0008 </t>
  </si>
  <si>
    <t> -0.0005 </t>
  </si>
  <si>
    <t> 22.04.2007 00:16 </t>
  </si>
  <si>
    <t>5745</t>
  </si>
  <si>
    <t> 0.0004 </t>
  </si>
  <si>
    <t> M.&amp; C.Rätz </t>
  </si>
  <si>
    <t>BAVM 201 </t>
  </si>
  <si>
    <t> 26.04.2007 22:16 </t>
  </si>
  <si>
    <t>5761.5</t>
  </si>
  <si>
    <t> -0.0009 </t>
  </si>
  <si>
    <t> 10.05.2008 22:40 </t>
  </si>
  <si>
    <t>7036.5</t>
  </si>
  <si>
    <t> -0.0007 </t>
  </si>
  <si>
    <t> 11.05.2008 02:16 </t>
  </si>
  <si>
    <t>7037</t>
  </si>
  <si>
    <t> 0.0009 </t>
  </si>
  <si>
    <t> 18.08.2008 22:39 </t>
  </si>
  <si>
    <t>7372</t>
  </si>
  <si>
    <t> 0.0023 </t>
  </si>
  <si>
    <t>IBVS 5871 </t>
  </si>
  <si>
    <t> 20.02.2009 11:30 </t>
  </si>
  <si>
    <t>7994.5</t>
  </si>
  <si>
    <t> 0.0005 </t>
  </si>
  <si>
    <t> R.Nelson </t>
  </si>
  <si>
    <t>IBVS 5929 </t>
  </si>
  <si>
    <t> 09.04.2009 21:54 </t>
  </si>
  <si>
    <t>8157</t>
  </si>
  <si>
    <t>BAVM 209 </t>
  </si>
  <si>
    <t> 10.04.2009 01:25 </t>
  </si>
  <si>
    <t>8157.5</t>
  </si>
  <si>
    <t> -0.0018 </t>
  </si>
  <si>
    <t> 05.08.2009 22:31 </t>
  </si>
  <si>
    <t>8553</t>
  </si>
  <si>
    <t> -0.0025 </t>
  </si>
  <si>
    <t>IBVS 5920 </t>
  </si>
  <si>
    <t> 28.03.2010 08:37 </t>
  </si>
  <si>
    <t>9339.5</t>
  </si>
  <si>
    <t> 0.0010 </t>
  </si>
  <si>
    <t> R.Diethelm </t>
  </si>
  <si>
    <t>IBVS 5945 </t>
  </si>
  <si>
    <t> 27.04.2010 21:47 </t>
  </si>
  <si>
    <t>9442</t>
  </si>
  <si>
    <t> -0.0013 </t>
  </si>
  <si>
    <t>BAVM 214 </t>
  </si>
  <si>
    <t> 28.04.2010 01:25 </t>
  </si>
  <si>
    <t>9442.5</t>
  </si>
  <si>
    <t> 0.0012 </t>
  </si>
  <si>
    <t> 19.04.2011 23:22 </t>
  </si>
  <si>
    <t>10640</t>
  </si>
  <si>
    <t>BAVM 220 </t>
  </si>
  <si>
    <t> 25.05.2011 21:22 </t>
  </si>
  <si>
    <t>10760.5</t>
  </si>
  <si>
    <t> 26.05.2011 00:57 </t>
  </si>
  <si>
    <t>10761</t>
  </si>
  <si>
    <t> 0.0002 </t>
  </si>
  <si>
    <t> 31.05.2011 06:10 </t>
  </si>
  <si>
    <t>10778.5</t>
  </si>
  <si>
    <t> 0.0016 </t>
  </si>
  <si>
    <t>IBVS 5992 </t>
  </si>
  <si>
    <t> 31.05.2011 09:41 </t>
  </si>
  <si>
    <t>10779</t>
  </si>
  <si>
    <t> -0.0006 </t>
  </si>
  <si>
    <t> 12.07.2011 21:02 </t>
  </si>
  <si>
    <t>10921.5</t>
  </si>
  <si>
    <t>m</t>
  </si>
  <si>
    <t> G.Saral &amp; C.Yildirim </t>
  </si>
  <si>
    <t>IBVS 6041 </t>
  </si>
  <si>
    <t> 13.07.2011 00:36 </t>
  </si>
  <si>
    <t>10922</t>
  </si>
  <si>
    <t> 15.07.2011 20:34 </t>
  </si>
  <si>
    <t>10931.5</t>
  </si>
  <si>
    <t> -0.0002 </t>
  </si>
  <si>
    <t> C.Yildirim &amp; M.Alpsoy </t>
  </si>
  <si>
    <t> 16.07.2011 00:07 </t>
  </si>
  <si>
    <t>10932</t>
  </si>
  <si>
    <t> 27.07.2011 22:15 </t>
  </si>
  <si>
    <t>10972</t>
  </si>
  <si>
    <t> -0.0012 </t>
  </si>
  <si>
    <t> M.Semuni et al. </t>
  </si>
  <si>
    <t> 28.07.2011 19:43 </t>
  </si>
  <si>
    <t>10975</t>
  </si>
  <si>
    <t> M.Dogruel et al. </t>
  </si>
  <si>
    <t> 03.05.2012 09:20 </t>
  </si>
  <si>
    <t>11913</t>
  </si>
  <si>
    <t> -0.006 </t>
  </si>
  <si>
    <t>IBVS 6029 </t>
  </si>
  <si>
    <t> 10.05.2012 23:55 </t>
  </si>
  <si>
    <t>11938.5</t>
  </si>
  <si>
    <t> 0.0013 </t>
  </si>
  <si>
    <t>BAVM 231 </t>
  </si>
  <si>
    <t>PE </t>
  </si>
  <si>
    <t>CCD </t>
  </si>
  <si>
    <t>dP/dt =</t>
  </si>
  <si>
    <t>Add cycle</t>
  </si>
  <si>
    <t>Old Cycle</t>
  </si>
  <si>
    <t>JAVSO..44…69</t>
  </si>
  <si>
    <t>JAVSO..45..121</t>
  </si>
  <si>
    <t>pg</t>
  </si>
  <si>
    <t>vis</t>
  </si>
  <si>
    <t>PE</t>
  </si>
  <si>
    <t>CCD</t>
  </si>
  <si>
    <t>s5</t>
  </si>
  <si>
    <t>s6</t>
  </si>
  <si>
    <t>s7</t>
  </si>
  <si>
    <t>IBVS 6262</t>
  </si>
  <si>
    <t>RHN 2020</t>
  </si>
  <si>
    <t>RHN 2021</t>
  </si>
  <si>
    <t>2020JAVSO..48….1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</si>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</sst>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2" applyNumberFormat="0" applyFont="0" applyFill="0" applyAlignment="0" applyProtection="0"/>
  </cellStyleXfs>
  <cellXfs count="11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0" xfId="0" applyFont="1" applyBorder="1">
      <alignment vertical="top"/>
    </xf>
    <xf numFmtId="0" fontId="20" fillId="0" borderId="11" xfId="0" applyFont="1" applyBorder="1">
      <alignment vertical="top"/>
    </xf>
    <xf numFmtId="0" fontId="8" fillId="0" borderId="7" xfId="0" applyFont="1" applyBorder="1">
      <alignment vertical="top"/>
    </xf>
    <xf numFmtId="165" fontId="8" fillId="0" borderId="7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20" fillId="0" borderId="13" xfId="0" applyFont="1" applyBorder="1">
      <alignment vertical="top"/>
    </xf>
    <xf numFmtId="0" fontId="8" fillId="0" borderId="8" xfId="0" applyFont="1" applyBorder="1">
      <alignment vertical="top"/>
    </xf>
    <xf numFmtId="165" fontId="8" fillId="0" borderId="8" xfId="0" applyNumberFormat="1" applyFont="1" applyBorder="1" applyAlignment="1">
      <alignment horizontal="center"/>
    </xf>
    <xf numFmtId="0" fontId="6" fillId="0" borderId="14" xfId="0" applyFont="1" applyBorder="1">
      <alignment vertical="top"/>
    </xf>
    <xf numFmtId="0" fontId="20" fillId="0" borderId="15" xfId="0" applyFont="1" applyBorder="1">
      <alignment vertical="top"/>
    </xf>
    <xf numFmtId="0" fontId="8" fillId="0" borderId="9" xfId="0" applyFont="1" applyBorder="1">
      <alignment vertical="top"/>
    </xf>
    <xf numFmtId="165" fontId="8" fillId="0" borderId="9" xfId="0" applyNumberFormat="1" applyFont="1" applyBorder="1" applyAlignment="1">
      <alignment horizontal="center"/>
    </xf>
    <xf numFmtId="0" fontId="19" fillId="0" borderId="3" xfId="0" applyFont="1" applyBorder="1">
      <alignment vertical="top"/>
    </xf>
    <xf numFmtId="0" fontId="0" fillId="0" borderId="3" xfId="0" applyBorder="1">
      <alignment vertical="top"/>
    </xf>
    <xf numFmtId="0" fontId="20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21" fillId="0" borderId="0" xfId="0" applyNumberFormat="1" applyFont="1">
      <alignment vertical="top"/>
    </xf>
    <xf numFmtId="0" fontId="15" fillId="0" borderId="0" xfId="0" applyFont="1">
      <alignment vertical="top"/>
    </xf>
    <xf numFmtId="166" fontId="15" fillId="0" borderId="0" xfId="0" applyNumberFormat="1" applyFont="1">
      <alignment vertical="top"/>
    </xf>
    <xf numFmtId="10" fontId="15" fillId="0" borderId="0" xfId="0" applyNumberFormat="1" applyFont="1">
      <alignment vertical="top"/>
    </xf>
    <xf numFmtId="0" fontId="14" fillId="0" borderId="0" xfId="0" applyFont="1" applyProtection="1">
      <alignment vertical="top"/>
      <protection locked="0"/>
    </xf>
    <xf numFmtId="0" fontId="14" fillId="0" borderId="0" xfId="0" applyFont="1" applyAlignment="1">
      <alignment horizontal="center"/>
    </xf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1" fillId="0" borderId="0" xfId="0" applyFont="1">
      <alignment vertical="top"/>
    </xf>
    <xf numFmtId="0" fontId="13" fillId="0" borderId="3" xfId="0" applyFont="1" applyBorder="1" applyAlignment="1">
      <alignment horizontal="center"/>
    </xf>
    <xf numFmtId="0" fontId="14" fillId="2" borderId="1" xfId="0" applyFont="1" applyFill="1" applyBorder="1">
      <alignment vertical="top"/>
    </xf>
    <xf numFmtId="0" fontId="8" fillId="0" borderId="16" xfId="0" applyFont="1" applyBorder="1">
      <alignment vertical="top"/>
    </xf>
    <xf numFmtId="0" fontId="6" fillId="0" borderId="1" xfId="0" applyFont="1" applyBorder="1">
      <alignment vertical="top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5" fillId="3" borderId="1" xfId="7" applyFill="1" applyBorder="1" applyAlignment="1" applyProtection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8206361119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A-4436-A1CB-E1897692A8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1A-4436-A1CB-E1897692A8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1A-4436-A1CB-E1897692A8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3.6875000005238689E-2</c:v>
                </c:pt>
                <c:pt idx="56">
                  <c:v>3.702500000508735E-2</c:v>
                </c:pt>
                <c:pt idx="57">
                  <c:v>2.9849999998987187E-2</c:v>
                </c:pt>
                <c:pt idx="58">
                  <c:v>3.7600000003294554E-2</c:v>
                </c:pt>
                <c:pt idx="59">
                  <c:v>3.7615694614942186E-2</c:v>
                </c:pt>
                <c:pt idx="60">
                  <c:v>3.6975000002712477E-2</c:v>
                </c:pt>
                <c:pt idx="61">
                  <c:v>3.7649999998393469E-2</c:v>
                </c:pt>
                <c:pt idx="62">
                  <c:v>3.2625000007101335E-2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1A-4436-A1CB-E1897692A8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1A-4436-A1CB-E1897692A8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1A-4436-A1CB-E1897692A8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1A-4436-A1CB-E1897692A8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1.1991463132350576E-2</c:v>
                </c:pt>
                <c:pt idx="1">
                  <c:v>1.1991909075961212E-2</c:v>
                </c:pt>
                <c:pt idx="2">
                  <c:v>1.4357193986774573E-2</c:v>
                </c:pt>
                <c:pt idx="3">
                  <c:v>1.4357193986774573E-2</c:v>
                </c:pt>
                <c:pt idx="4">
                  <c:v>1.4357639930385208E-2</c:v>
                </c:pt>
                <c:pt idx="5">
                  <c:v>1.4363437197323477E-2</c:v>
                </c:pt>
                <c:pt idx="6">
                  <c:v>1.4384396547023368E-2</c:v>
                </c:pt>
                <c:pt idx="7">
                  <c:v>1.4408031558387076E-2</c:v>
                </c:pt>
                <c:pt idx="8">
                  <c:v>1.4408477501997712E-2</c:v>
                </c:pt>
                <c:pt idx="9">
                  <c:v>1.441427476893598E-2</c:v>
                </c:pt>
                <c:pt idx="10">
                  <c:v>1.5419431667309531E-2</c:v>
                </c:pt>
                <c:pt idx="11">
                  <c:v>1.6289021708049738E-2</c:v>
                </c:pt>
                <c:pt idx="12">
                  <c:v>1.6475872080906222E-2</c:v>
                </c:pt>
                <c:pt idx="13">
                  <c:v>1.7828419051965222E-2</c:v>
                </c:pt>
                <c:pt idx="14">
                  <c:v>1.7828864995575858E-2</c:v>
                </c:pt>
                <c:pt idx="15">
                  <c:v>1.887281898807474E-2</c:v>
                </c:pt>
                <c:pt idx="16">
                  <c:v>1.9019088492363348E-2</c:v>
                </c:pt>
                <c:pt idx="17">
                  <c:v>1.992613779639698E-2</c:v>
                </c:pt>
                <c:pt idx="18">
                  <c:v>2.0802862934907362E-2</c:v>
                </c:pt>
                <c:pt idx="19">
                  <c:v>2.0802862934907362E-2</c:v>
                </c:pt>
                <c:pt idx="20">
                  <c:v>2.0803308878517997E-2</c:v>
                </c:pt>
                <c:pt idx="21">
                  <c:v>2.0803308878517997E-2</c:v>
                </c:pt>
                <c:pt idx="22">
                  <c:v>2.0809106145456266E-2</c:v>
                </c:pt>
                <c:pt idx="23">
                  <c:v>2.0823822284607253E-2</c:v>
                </c:pt>
                <c:pt idx="24">
                  <c:v>2.1960978491729063E-2</c:v>
                </c:pt>
                <c:pt idx="25">
                  <c:v>2.1961424435339699E-2</c:v>
                </c:pt>
                <c:pt idx="26">
                  <c:v>2.2260206654465819E-2</c:v>
                </c:pt>
                <c:pt idx="27">
                  <c:v>2.2815406449707643E-2</c:v>
                </c:pt>
                <c:pt idx="28">
                  <c:v>2.2960338123164344E-2</c:v>
                </c:pt>
                <c:pt idx="29">
                  <c:v>2.2960784066774979E-2</c:v>
                </c:pt>
                <c:pt idx="30">
                  <c:v>2.3313525462788059E-2</c:v>
                </c:pt>
                <c:pt idx="31">
                  <c:v>2.4014994762318491E-2</c:v>
                </c:pt>
                <c:pt idx="32">
                  <c:v>2.4106413202498872E-2</c:v>
                </c:pt>
                <c:pt idx="33">
                  <c:v>2.4106859146109508E-2</c:v>
                </c:pt>
                <c:pt idx="34">
                  <c:v>2.5174894093582735E-2</c:v>
                </c:pt>
                <c:pt idx="35">
                  <c:v>2.5282366503746014E-2</c:v>
                </c:pt>
                <c:pt idx="36">
                  <c:v>2.528281244735665E-2</c:v>
                </c:pt>
                <c:pt idx="37">
                  <c:v>2.5298420473728909E-2</c:v>
                </c:pt>
                <c:pt idx="38">
                  <c:v>2.5298866417339548E-2</c:v>
                </c:pt>
                <c:pt idx="39">
                  <c:v>2.5425960346370804E-2</c:v>
                </c:pt>
                <c:pt idx="40">
                  <c:v>2.542640628998144E-2</c:v>
                </c:pt>
                <c:pt idx="41">
                  <c:v>2.5434879218583527E-2</c:v>
                </c:pt>
                <c:pt idx="42">
                  <c:v>2.5435325162194163E-2</c:v>
                </c:pt>
                <c:pt idx="43">
                  <c:v>2.5471000651045045E-2</c:v>
                </c:pt>
                <c:pt idx="44">
                  <c:v>2.5473676312708859E-2</c:v>
                </c:pt>
                <c:pt idx="45">
                  <c:v>2.6310266526261998E-2</c:v>
                </c:pt>
                <c:pt idx="46">
                  <c:v>2.6333009650404436E-2</c:v>
                </c:pt>
                <c:pt idx="47">
                  <c:v>2.9634330199942768E-2</c:v>
                </c:pt>
                <c:pt idx="48">
                  <c:v>3.084016172310252E-2</c:v>
                </c:pt>
                <c:pt idx="49">
                  <c:v>3.2815691918220015E-2</c:v>
                </c:pt>
                <c:pt idx="50">
                  <c:v>3.3833335237691373E-2</c:v>
                </c:pt>
                <c:pt idx="51">
                  <c:v>3.4934370012351668E-2</c:v>
                </c:pt>
                <c:pt idx="52">
                  <c:v>3.6113444918873257E-2</c:v>
                </c:pt>
                <c:pt idx="53">
                  <c:v>3.6119242185811529E-2</c:v>
                </c:pt>
                <c:pt idx="54">
                  <c:v>3.6137079930236966E-2</c:v>
                </c:pt>
                <c:pt idx="55">
                  <c:v>3.6137525873847602E-2</c:v>
                </c:pt>
                <c:pt idx="56">
                  <c:v>3.6149120407724139E-2</c:v>
                </c:pt>
                <c:pt idx="57">
                  <c:v>3.6152242012998589E-2</c:v>
                </c:pt>
                <c:pt idx="58">
                  <c:v>3.6154917674662404E-2</c:v>
                </c:pt>
                <c:pt idx="59">
                  <c:v>3.6154917674662404E-2</c:v>
                </c:pt>
                <c:pt idx="60">
                  <c:v>3.615536361827304E-2</c:v>
                </c:pt>
                <c:pt idx="61">
                  <c:v>3.6161160885211312E-2</c:v>
                </c:pt>
                <c:pt idx="62">
                  <c:v>3.619728231767283E-2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1A-4436-A1CB-E1897692A83D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1A-4436-A1CB-E1897692A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60568"/>
        <c:axId val="1"/>
      </c:scatterChart>
      <c:valAx>
        <c:axId val="842560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60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79967689822"/>
          <c:y val="0.92121212121212126"/>
          <c:w val="0.84814216478190629"/>
          <c:h val="6.06060606060606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 O-C Diagr.</a:t>
            </a:r>
          </a:p>
        </c:rich>
      </c:tx>
      <c:layout>
        <c:manualLayout>
          <c:xMode val="edge"/>
          <c:yMode val="edge"/>
          <c:x val="0.36025874185081702"/>
          <c:y val="3.3333491923781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45497589659059"/>
          <c:w val="0.7964465087074261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B1-45D9-9359-FBA2074D2C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8.2500000280560926E-4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B1-45D9-9359-FBA2074D2C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2.7000000045518391E-3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20">
                  <c:v>6.9250000015017577E-3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8">
                  <c:v>1.2700000006589107E-2</c:v>
                </c:pt>
                <c:pt idx="29">
                  <c:v>1.0575000000244472E-2</c:v>
                </c:pt>
                <c:pt idx="32">
                  <c:v>1.3450000005832408E-2</c:v>
                </c:pt>
                <c:pt idx="33">
                  <c:v>1.6025000004447065E-2</c:v>
                </c:pt>
                <c:pt idx="34">
                  <c:v>1.6150000003108289E-2</c:v>
                </c:pt>
                <c:pt idx="35">
                  <c:v>1.7724999997881241E-2</c:v>
                </c:pt>
                <c:pt idx="36">
                  <c:v>1.750000000174623E-2</c:v>
                </c:pt>
                <c:pt idx="46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B1-45D9-9359-FBA2074D2C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3">
                  <c:v>5.0000000046566129E-3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9">
                  <c:v>6.7500000004656613E-3</c:v>
                </c:pt>
                <c:pt idx="21">
                  <c:v>7.2250000011990778E-3</c:v>
                </c:pt>
                <c:pt idx="26">
                  <c:v>1.314999999885913E-2</c:v>
                </c:pt>
                <c:pt idx="27">
                  <c:v>1.2551373292808421E-2</c:v>
                </c:pt>
                <c:pt idx="30">
                  <c:v>1.0600000001431908E-2</c:v>
                </c:pt>
                <c:pt idx="31">
                  <c:v>1.5575000004901085E-2</c:v>
                </c:pt>
                <c:pt idx="37">
                  <c:v>1.8925000003946479E-2</c:v>
                </c:pt>
                <c:pt idx="38">
                  <c:v>1.6700000000128057E-2</c:v>
                </c:pt>
                <c:pt idx="39">
                  <c:v>1.7775000000256114E-2</c:v>
                </c:pt>
                <c:pt idx="40">
                  <c:v>1.705000000220025E-2</c:v>
                </c:pt>
                <c:pt idx="41">
                  <c:v>1.7375000003085006E-2</c:v>
                </c:pt>
                <c:pt idx="42">
                  <c:v>1.6650000005029142E-2</c:v>
                </c:pt>
                <c:pt idx="43">
                  <c:v>1.6450000002805609E-2</c:v>
                </c:pt>
                <c:pt idx="44">
                  <c:v>1.720000000204891E-2</c:v>
                </c:pt>
                <c:pt idx="45">
                  <c:v>1.320000000850996E-2</c:v>
                </c:pt>
                <c:pt idx="47">
                  <c:v>2.2349999999278225E-2</c:v>
                </c:pt>
                <c:pt idx="48">
                  <c:v>2.4250000009487849E-2</c:v>
                </c:pt>
                <c:pt idx="49">
                  <c:v>3.2700000003387686E-2</c:v>
                </c:pt>
                <c:pt idx="50">
                  <c:v>3.3750000009604264E-2</c:v>
                </c:pt>
                <c:pt idx="51">
                  <c:v>3.5225000006903429E-2</c:v>
                </c:pt>
                <c:pt idx="52">
                  <c:v>3.6325000000942964E-2</c:v>
                </c:pt>
                <c:pt idx="53">
                  <c:v>3.7500000005820766E-2</c:v>
                </c:pt>
                <c:pt idx="54">
                  <c:v>3.7500000005820766E-2</c:v>
                </c:pt>
                <c:pt idx="55">
                  <c:v>3.6875000005238689E-2</c:v>
                </c:pt>
                <c:pt idx="56">
                  <c:v>3.702500000508735E-2</c:v>
                </c:pt>
                <c:pt idx="57">
                  <c:v>2.9849999998987187E-2</c:v>
                </c:pt>
                <c:pt idx="58">
                  <c:v>3.7600000003294554E-2</c:v>
                </c:pt>
                <c:pt idx="59">
                  <c:v>3.7615694614942186E-2</c:v>
                </c:pt>
                <c:pt idx="60">
                  <c:v>3.6975000002712477E-2</c:v>
                </c:pt>
                <c:pt idx="61">
                  <c:v>3.7649999998393469E-2</c:v>
                </c:pt>
                <c:pt idx="62">
                  <c:v>3.2625000007101335E-2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B1-45D9-9359-FBA2074D2C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B1-45D9-9359-FBA2074D2C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B1-45D9-9359-FBA2074D2C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4.0000000000000002E-4</c:v>
                  </c:pt>
                  <c:pt idx="13">
                    <c:v>1.6999999999999999E-3</c:v>
                  </c:pt>
                  <c:pt idx="14">
                    <c:v>4.0000000000000002E-4</c:v>
                  </c:pt>
                  <c:pt idx="15">
                    <c:v>8.0000000000000004E-4</c:v>
                  </c:pt>
                  <c:pt idx="16">
                    <c:v>8.0000000000000004E-4</c:v>
                  </c:pt>
                  <c:pt idx="17">
                    <c:v>4.0000000000000001E-3</c:v>
                  </c:pt>
                  <c:pt idx="18">
                    <c:v>1.4E-3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1.1999999999999999E-3</c:v>
                  </c:pt>
                  <c:pt idx="24">
                    <c:v>4.0000000000000002E-4</c:v>
                  </c:pt>
                  <c:pt idx="25">
                    <c:v>1.5E-3</c:v>
                  </c:pt>
                  <c:pt idx="26">
                    <c:v>1.1000000000000001E-3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1E-3</c:v>
                  </c:pt>
                  <c:pt idx="30">
                    <c:v>1.2999999999999999E-3</c:v>
                  </c:pt>
                  <c:pt idx="31">
                    <c:v>2.9999999999999997E-4</c:v>
                  </c:pt>
                  <c:pt idx="32">
                    <c:v>2.0999999999999999E-3</c:v>
                  </c:pt>
                  <c:pt idx="33">
                    <c:v>2E-3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1.1999999999999999E-3</c:v>
                  </c:pt>
                  <c:pt idx="37">
                    <c:v>2.9999999999999997E-4</c:v>
                  </c:pt>
                  <c:pt idx="38">
                    <c:v>1.2999999999999999E-3</c:v>
                  </c:pt>
                  <c:pt idx="39">
                    <c:v>5.9999999999999995E-4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4.0000000000000002E-4</c:v>
                  </c:pt>
                  <c:pt idx="44">
                    <c:v>4.0000000000000002E-4</c:v>
                  </c:pt>
                  <c:pt idx="45">
                    <c:v>4.0000000000000001E-3</c:v>
                  </c:pt>
                  <c:pt idx="46">
                    <c:v>1.2999999999999999E-3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2.9999999999999997E-4</c:v>
                  </c:pt>
                  <c:pt idx="53">
                    <c:v>2.0000000000000001E-4</c:v>
                  </c:pt>
                  <c:pt idx="54">
                    <c:v>4.0000000000000002E-4</c:v>
                  </c:pt>
                  <c:pt idx="55">
                    <c:v>1.1999999999999999E-3</c:v>
                  </c:pt>
                  <c:pt idx="56">
                    <c:v>2.9999999999999997E-4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4.0000000000000002E-4</c:v>
                  </c:pt>
                  <c:pt idx="61">
                    <c:v>4.0000000000000002E-4</c:v>
                  </c:pt>
                  <c:pt idx="6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B1-45D9-9359-FBA2074D2C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-4818.5</c:v>
                </c:pt>
                <c:pt idx="1">
                  <c:v>-4818</c:v>
                </c:pt>
                <c:pt idx="2">
                  <c:v>-2166</c:v>
                </c:pt>
                <c:pt idx="3">
                  <c:v>-2166</c:v>
                </c:pt>
                <c:pt idx="4">
                  <c:v>-2165.5</c:v>
                </c:pt>
                <c:pt idx="5">
                  <c:v>-2159</c:v>
                </c:pt>
                <c:pt idx="6">
                  <c:v>-2135.5</c:v>
                </c:pt>
                <c:pt idx="7">
                  <c:v>-2109</c:v>
                </c:pt>
                <c:pt idx="8">
                  <c:v>-2108.5</c:v>
                </c:pt>
                <c:pt idx="9">
                  <c:v>-2102</c:v>
                </c:pt>
                <c:pt idx="10">
                  <c:v>-975</c:v>
                </c:pt>
                <c:pt idx="11">
                  <c:v>0</c:v>
                </c:pt>
                <c:pt idx="12">
                  <c:v>209.5</c:v>
                </c:pt>
                <c:pt idx="13">
                  <c:v>1726</c:v>
                </c:pt>
                <c:pt idx="14">
                  <c:v>1726.5</c:v>
                </c:pt>
                <c:pt idx="15">
                  <c:v>2897</c:v>
                </c:pt>
                <c:pt idx="16">
                  <c:v>3061</c:v>
                </c:pt>
                <c:pt idx="17">
                  <c:v>4078</c:v>
                </c:pt>
                <c:pt idx="18">
                  <c:v>5061</c:v>
                </c:pt>
                <c:pt idx="19">
                  <c:v>5061</c:v>
                </c:pt>
                <c:pt idx="20">
                  <c:v>5061.5</c:v>
                </c:pt>
                <c:pt idx="21">
                  <c:v>5061.5</c:v>
                </c:pt>
                <c:pt idx="22">
                  <c:v>5068</c:v>
                </c:pt>
                <c:pt idx="23">
                  <c:v>5084.5</c:v>
                </c:pt>
                <c:pt idx="24">
                  <c:v>6359.5</c:v>
                </c:pt>
                <c:pt idx="25">
                  <c:v>6360</c:v>
                </c:pt>
                <c:pt idx="26">
                  <c:v>6695</c:v>
                </c:pt>
                <c:pt idx="27">
                  <c:v>7317.5</c:v>
                </c:pt>
                <c:pt idx="28">
                  <c:v>7480</c:v>
                </c:pt>
                <c:pt idx="29">
                  <c:v>7480.5</c:v>
                </c:pt>
                <c:pt idx="30">
                  <c:v>7876</c:v>
                </c:pt>
                <c:pt idx="31">
                  <c:v>8662.5</c:v>
                </c:pt>
                <c:pt idx="32">
                  <c:v>8765</c:v>
                </c:pt>
                <c:pt idx="33">
                  <c:v>8765.5</c:v>
                </c:pt>
                <c:pt idx="34">
                  <c:v>9963</c:v>
                </c:pt>
                <c:pt idx="35">
                  <c:v>10083.5</c:v>
                </c:pt>
                <c:pt idx="36">
                  <c:v>10084</c:v>
                </c:pt>
                <c:pt idx="37">
                  <c:v>10101.5</c:v>
                </c:pt>
                <c:pt idx="38">
                  <c:v>10102</c:v>
                </c:pt>
                <c:pt idx="39">
                  <c:v>10244.5</c:v>
                </c:pt>
                <c:pt idx="40">
                  <c:v>10245</c:v>
                </c:pt>
                <c:pt idx="41">
                  <c:v>10254.5</c:v>
                </c:pt>
                <c:pt idx="42">
                  <c:v>10255</c:v>
                </c:pt>
                <c:pt idx="43">
                  <c:v>10295</c:v>
                </c:pt>
                <c:pt idx="44">
                  <c:v>10298</c:v>
                </c:pt>
                <c:pt idx="45">
                  <c:v>11236</c:v>
                </c:pt>
                <c:pt idx="46">
                  <c:v>11261.5</c:v>
                </c:pt>
                <c:pt idx="47">
                  <c:v>14963</c:v>
                </c:pt>
                <c:pt idx="48">
                  <c:v>16315</c:v>
                </c:pt>
                <c:pt idx="49">
                  <c:v>18530</c:v>
                </c:pt>
                <c:pt idx="50">
                  <c:v>19671</c:v>
                </c:pt>
                <c:pt idx="51">
                  <c:v>20905.5</c:v>
                </c:pt>
                <c:pt idx="52">
                  <c:v>22227.5</c:v>
                </c:pt>
                <c:pt idx="53">
                  <c:v>22234</c:v>
                </c:pt>
                <c:pt idx="54">
                  <c:v>22254</c:v>
                </c:pt>
                <c:pt idx="55">
                  <c:v>22254.5</c:v>
                </c:pt>
                <c:pt idx="56">
                  <c:v>22267.5</c:v>
                </c:pt>
                <c:pt idx="57">
                  <c:v>22271</c:v>
                </c:pt>
                <c:pt idx="58">
                  <c:v>22274</c:v>
                </c:pt>
                <c:pt idx="59">
                  <c:v>22274</c:v>
                </c:pt>
                <c:pt idx="60">
                  <c:v>22274.5</c:v>
                </c:pt>
                <c:pt idx="61">
                  <c:v>22281</c:v>
                </c:pt>
                <c:pt idx="62">
                  <c:v>22321.5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1.1991463132350576E-2</c:v>
                </c:pt>
                <c:pt idx="1">
                  <c:v>1.1991909075961212E-2</c:v>
                </c:pt>
                <c:pt idx="2">
                  <c:v>1.4357193986774573E-2</c:v>
                </c:pt>
                <c:pt idx="3">
                  <c:v>1.4357193986774573E-2</c:v>
                </c:pt>
                <c:pt idx="4">
                  <c:v>1.4357639930385208E-2</c:v>
                </c:pt>
                <c:pt idx="5">
                  <c:v>1.4363437197323477E-2</c:v>
                </c:pt>
                <c:pt idx="6">
                  <c:v>1.4384396547023368E-2</c:v>
                </c:pt>
                <c:pt idx="7">
                  <c:v>1.4408031558387076E-2</c:v>
                </c:pt>
                <c:pt idx="8">
                  <c:v>1.4408477501997712E-2</c:v>
                </c:pt>
                <c:pt idx="9">
                  <c:v>1.441427476893598E-2</c:v>
                </c:pt>
                <c:pt idx="10">
                  <c:v>1.5419431667309531E-2</c:v>
                </c:pt>
                <c:pt idx="11">
                  <c:v>1.6289021708049738E-2</c:v>
                </c:pt>
                <c:pt idx="12">
                  <c:v>1.6475872080906222E-2</c:v>
                </c:pt>
                <c:pt idx="13">
                  <c:v>1.7828419051965222E-2</c:v>
                </c:pt>
                <c:pt idx="14">
                  <c:v>1.7828864995575858E-2</c:v>
                </c:pt>
                <c:pt idx="15">
                  <c:v>1.887281898807474E-2</c:v>
                </c:pt>
                <c:pt idx="16">
                  <c:v>1.9019088492363348E-2</c:v>
                </c:pt>
                <c:pt idx="17">
                  <c:v>1.992613779639698E-2</c:v>
                </c:pt>
                <c:pt idx="18">
                  <c:v>2.0802862934907362E-2</c:v>
                </c:pt>
                <c:pt idx="19">
                  <c:v>2.0802862934907362E-2</c:v>
                </c:pt>
                <c:pt idx="20">
                  <c:v>2.0803308878517997E-2</c:v>
                </c:pt>
                <c:pt idx="21">
                  <c:v>2.0803308878517997E-2</c:v>
                </c:pt>
                <c:pt idx="22">
                  <c:v>2.0809106145456266E-2</c:v>
                </c:pt>
                <c:pt idx="23">
                  <c:v>2.0823822284607253E-2</c:v>
                </c:pt>
                <c:pt idx="24">
                  <c:v>2.1960978491729063E-2</c:v>
                </c:pt>
                <c:pt idx="25">
                  <c:v>2.1961424435339699E-2</c:v>
                </c:pt>
                <c:pt idx="26">
                  <c:v>2.2260206654465819E-2</c:v>
                </c:pt>
                <c:pt idx="27">
                  <c:v>2.2815406449707643E-2</c:v>
                </c:pt>
                <c:pt idx="28">
                  <c:v>2.2960338123164344E-2</c:v>
                </c:pt>
                <c:pt idx="29">
                  <c:v>2.2960784066774979E-2</c:v>
                </c:pt>
                <c:pt idx="30">
                  <c:v>2.3313525462788059E-2</c:v>
                </c:pt>
                <c:pt idx="31">
                  <c:v>2.4014994762318491E-2</c:v>
                </c:pt>
                <c:pt idx="32">
                  <c:v>2.4106413202498872E-2</c:v>
                </c:pt>
                <c:pt idx="33">
                  <c:v>2.4106859146109508E-2</c:v>
                </c:pt>
                <c:pt idx="34">
                  <c:v>2.5174894093582735E-2</c:v>
                </c:pt>
                <c:pt idx="35">
                  <c:v>2.5282366503746014E-2</c:v>
                </c:pt>
                <c:pt idx="36">
                  <c:v>2.528281244735665E-2</c:v>
                </c:pt>
                <c:pt idx="37">
                  <c:v>2.5298420473728909E-2</c:v>
                </c:pt>
                <c:pt idx="38">
                  <c:v>2.5298866417339548E-2</c:v>
                </c:pt>
                <c:pt idx="39">
                  <c:v>2.5425960346370804E-2</c:v>
                </c:pt>
                <c:pt idx="40">
                  <c:v>2.542640628998144E-2</c:v>
                </c:pt>
                <c:pt idx="41">
                  <c:v>2.5434879218583527E-2</c:v>
                </c:pt>
                <c:pt idx="42">
                  <c:v>2.5435325162194163E-2</c:v>
                </c:pt>
                <c:pt idx="43">
                  <c:v>2.5471000651045045E-2</c:v>
                </c:pt>
                <c:pt idx="44">
                  <c:v>2.5473676312708859E-2</c:v>
                </c:pt>
                <c:pt idx="45">
                  <c:v>2.6310266526261998E-2</c:v>
                </c:pt>
                <c:pt idx="46">
                  <c:v>2.6333009650404436E-2</c:v>
                </c:pt>
                <c:pt idx="47">
                  <c:v>2.9634330199942768E-2</c:v>
                </c:pt>
                <c:pt idx="48">
                  <c:v>3.084016172310252E-2</c:v>
                </c:pt>
                <c:pt idx="49">
                  <c:v>3.2815691918220015E-2</c:v>
                </c:pt>
                <c:pt idx="50">
                  <c:v>3.3833335237691373E-2</c:v>
                </c:pt>
                <c:pt idx="51">
                  <c:v>3.4934370012351668E-2</c:v>
                </c:pt>
                <c:pt idx="52">
                  <c:v>3.6113444918873257E-2</c:v>
                </c:pt>
                <c:pt idx="53">
                  <c:v>3.6119242185811529E-2</c:v>
                </c:pt>
                <c:pt idx="54">
                  <c:v>3.6137079930236966E-2</c:v>
                </c:pt>
                <c:pt idx="55">
                  <c:v>3.6137525873847602E-2</c:v>
                </c:pt>
                <c:pt idx="56">
                  <c:v>3.6149120407724139E-2</c:v>
                </c:pt>
                <c:pt idx="57">
                  <c:v>3.6152242012998589E-2</c:v>
                </c:pt>
                <c:pt idx="58">
                  <c:v>3.6154917674662404E-2</c:v>
                </c:pt>
                <c:pt idx="59">
                  <c:v>3.6154917674662404E-2</c:v>
                </c:pt>
                <c:pt idx="60">
                  <c:v>3.615536361827304E-2</c:v>
                </c:pt>
                <c:pt idx="61">
                  <c:v>3.6161160885211312E-2</c:v>
                </c:pt>
                <c:pt idx="62">
                  <c:v>3.619728231767283E-2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B1-45D9-9359-FBA2074D2C9B}"/>
            </c:ext>
          </c:extLst>
        </c:ser>
        <c:ser>
          <c:idx val="8"/>
          <c:order val="8"/>
          <c:tx>
            <c:strRef>
              <c:f>Active!$T$1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Active!$S$2:$S$33</c:f>
              <c:numCache>
                <c:formatCode>General</c:formatCode>
                <c:ptCount val="32"/>
                <c:pt idx="0">
                  <c:v>-6000</c:v>
                </c:pt>
                <c:pt idx="1">
                  <c:v>-5000</c:v>
                </c:pt>
                <c:pt idx="2">
                  <c:v>-4000</c:v>
                </c:pt>
                <c:pt idx="3">
                  <c:v>-3000</c:v>
                </c:pt>
                <c:pt idx="4">
                  <c:v>-2000</c:v>
                </c:pt>
                <c:pt idx="5">
                  <c:v>-1000</c:v>
                </c:pt>
                <c:pt idx="6">
                  <c:v>0</c:v>
                </c:pt>
                <c:pt idx="7">
                  <c:v>1000</c:v>
                </c:pt>
                <c:pt idx="8">
                  <c:v>2000</c:v>
                </c:pt>
                <c:pt idx="9">
                  <c:v>3000</c:v>
                </c:pt>
                <c:pt idx="10">
                  <c:v>4000</c:v>
                </c:pt>
                <c:pt idx="11">
                  <c:v>5000</c:v>
                </c:pt>
                <c:pt idx="12">
                  <c:v>6000</c:v>
                </c:pt>
                <c:pt idx="13">
                  <c:v>7000</c:v>
                </c:pt>
                <c:pt idx="14">
                  <c:v>8000</c:v>
                </c:pt>
                <c:pt idx="15">
                  <c:v>9000</c:v>
                </c:pt>
                <c:pt idx="16">
                  <c:v>10000</c:v>
                </c:pt>
                <c:pt idx="17">
                  <c:v>11000</c:v>
                </c:pt>
                <c:pt idx="18">
                  <c:v>12000</c:v>
                </c:pt>
                <c:pt idx="19">
                  <c:v>13000</c:v>
                </c:pt>
                <c:pt idx="20">
                  <c:v>14000</c:v>
                </c:pt>
                <c:pt idx="21">
                  <c:v>15000</c:v>
                </c:pt>
                <c:pt idx="22">
                  <c:v>16000</c:v>
                </c:pt>
                <c:pt idx="23">
                  <c:v>17000</c:v>
                </c:pt>
                <c:pt idx="24">
                  <c:v>18000</c:v>
                </c:pt>
                <c:pt idx="25">
                  <c:v>19000</c:v>
                </c:pt>
              </c:numCache>
            </c:numRef>
          </c:xVal>
          <c:yVal>
            <c:numRef>
              <c:f>Active!$T$2:$T$33</c:f>
              <c:numCache>
                <c:formatCode>General</c:formatCode>
                <c:ptCount val="32"/>
                <c:pt idx="0">
                  <c:v>4.1719879676687509E-3</c:v>
                </c:pt>
                <c:pt idx="1">
                  <c:v>3.7122148234126082E-3</c:v>
                </c:pt>
                <c:pt idx="2">
                  <c:v>3.4159819112142432E-3</c:v>
                </c:pt>
                <c:pt idx="3">
                  <c:v>3.283289231073655E-3</c:v>
                </c:pt>
                <c:pt idx="4">
                  <c:v>3.3141367829908441E-3</c:v>
                </c:pt>
                <c:pt idx="5">
                  <c:v>3.5085245669658105E-3</c:v>
                </c:pt>
                <c:pt idx="6">
                  <c:v>3.8664525829985538E-3</c:v>
                </c:pt>
                <c:pt idx="7">
                  <c:v>4.3879208310890743E-3</c:v>
                </c:pt>
                <c:pt idx="8">
                  <c:v>5.0729293112373721E-3</c:v>
                </c:pt>
                <c:pt idx="9">
                  <c:v>5.9214780234434468E-3</c:v>
                </c:pt>
                <c:pt idx="10">
                  <c:v>6.9335669677072975E-3</c:v>
                </c:pt>
                <c:pt idx="11">
                  <c:v>8.1091961440289267E-3</c:v>
                </c:pt>
                <c:pt idx="12">
                  <c:v>9.4483655524083329E-3</c:v>
                </c:pt>
                <c:pt idx="13">
                  <c:v>1.0951075192845517E-2</c:v>
                </c:pt>
                <c:pt idx="14">
                  <c:v>1.2617325065340475E-2</c:v>
                </c:pt>
                <c:pt idx="15">
                  <c:v>1.4447115169893212E-2</c:v>
                </c:pt>
                <c:pt idx="16">
                  <c:v>1.6440445506503726E-2</c:v>
                </c:pt>
                <c:pt idx="17">
                  <c:v>1.8597316075172017E-2</c:v>
                </c:pt>
                <c:pt idx="18">
                  <c:v>2.0917726875898088E-2</c:v>
                </c:pt>
                <c:pt idx="19">
                  <c:v>2.3401677908681934E-2</c:v>
                </c:pt>
                <c:pt idx="20">
                  <c:v>2.6049169173523557E-2</c:v>
                </c:pt>
                <c:pt idx="21">
                  <c:v>2.8860200670422956E-2</c:v>
                </c:pt>
                <c:pt idx="22">
                  <c:v>3.183477239938013E-2</c:v>
                </c:pt>
                <c:pt idx="23">
                  <c:v>3.4972884360395085E-2</c:v>
                </c:pt>
                <c:pt idx="24">
                  <c:v>3.8274536553467818E-2</c:v>
                </c:pt>
                <c:pt idx="25">
                  <c:v>4.1739728978598331E-2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B1-45D9-9359-FBA2074D2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696"/>
        <c:axId val="1"/>
      </c:scatterChart>
      <c:valAx>
        <c:axId val="842552696"/>
        <c:scaling>
          <c:orientation val="minMax"/>
          <c:max val="22500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16797900261"/>
              <c:y val="0.83939640475454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.7999999999999999E-2"/>
          <c:min val="3.4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69697805901150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92145141978098655"/>
          <c:w val="0.8467741935483871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V1033 Her -- O-C Diagram</a:t>
            </a:r>
          </a:p>
        </c:rich>
      </c:tx>
      <c:layout>
        <c:manualLayout>
          <c:xMode val="edge"/>
          <c:yMode val="edge"/>
          <c:x val="0.40665732268271093"/>
          <c:y val="2.972399150743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042025428800984E-2"/>
          <c:y val="8.9172159410163321E-2"/>
          <c:w val="0.88277920556372502"/>
          <c:h val="0.7898105547757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Q_fit!$D$21:$D$68</c:f>
              <c:numCache>
                <c:formatCode>General</c:formatCode>
                <c:ptCount val="48"/>
                <c:pt idx="0">
                  <c:v>-0.48185</c:v>
                </c:pt>
                <c:pt idx="1">
                  <c:v>-0.48180000000000001</c:v>
                </c:pt>
                <c:pt idx="2">
                  <c:v>-0.21659999999999999</c:v>
                </c:pt>
                <c:pt idx="3">
                  <c:v>-0.21659999999999999</c:v>
                </c:pt>
                <c:pt idx="4">
                  <c:v>-0.21654999999999999</c:v>
                </c:pt>
                <c:pt idx="5">
                  <c:v>-0.21590000000000001</c:v>
                </c:pt>
                <c:pt idx="6">
                  <c:v>-0.21354999999999999</c:v>
                </c:pt>
                <c:pt idx="7">
                  <c:v>-0.2109</c:v>
                </c:pt>
                <c:pt idx="8">
                  <c:v>-0.21085000000000001</c:v>
                </c:pt>
                <c:pt idx="9">
                  <c:v>-0.2102</c:v>
                </c:pt>
                <c:pt idx="10">
                  <c:v>-9.7500000000000003E-2</c:v>
                </c:pt>
                <c:pt idx="11">
                  <c:v>0</c:v>
                </c:pt>
                <c:pt idx="12">
                  <c:v>2.095E-2</c:v>
                </c:pt>
                <c:pt idx="13">
                  <c:v>0.1726</c:v>
                </c:pt>
                <c:pt idx="14">
                  <c:v>0.17265</c:v>
                </c:pt>
                <c:pt idx="15">
                  <c:v>0.28970000000000001</c:v>
                </c:pt>
                <c:pt idx="16">
                  <c:v>0.30609999999999998</c:v>
                </c:pt>
                <c:pt idx="17">
                  <c:v>0.4078</c:v>
                </c:pt>
                <c:pt idx="18">
                  <c:v>0.50609999999999999</c:v>
                </c:pt>
                <c:pt idx="19">
                  <c:v>0.50609999999999999</c:v>
                </c:pt>
                <c:pt idx="20">
                  <c:v>0.50614999999999999</c:v>
                </c:pt>
                <c:pt idx="21">
                  <c:v>0.50614999999999999</c:v>
                </c:pt>
                <c:pt idx="22">
                  <c:v>0.50680000000000003</c:v>
                </c:pt>
                <c:pt idx="23">
                  <c:v>0.50844999999999996</c:v>
                </c:pt>
                <c:pt idx="24">
                  <c:v>0.63595000000000002</c:v>
                </c:pt>
                <c:pt idx="25">
                  <c:v>0.63600000000000001</c:v>
                </c:pt>
                <c:pt idx="26">
                  <c:v>0.66949999999999998</c:v>
                </c:pt>
                <c:pt idx="27">
                  <c:v>0.73175000000000001</c:v>
                </c:pt>
                <c:pt idx="28">
                  <c:v>0.73175000000000001</c:v>
                </c:pt>
                <c:pt idx="29">
                  <c:v>0.748</c:v>
                </c:pt>
                <c:pt idx="30">
                  <c:v>0.74804999999999999</c:v>
                </c:pt>
                <c:pt idx="31">
                  <c:v>0.78759999999999997</c:v>
                </c:pt>
                <c:pt idx="32">
                  <c:v>0.86624999999999996</c:v>
                </c:pt>
                <c:pt idx="33">
                  <c:v>0.87649999999999995</c:v>
                </c:pt>
                <c:pt idx="34">
                  <c:v>0.87655000000000005</c:v>
                </c:pt>
                <c:pt idx="35">
                  <c:v>0.99629999999999996</c:v>
                </c:pt>
                <c:pt idx="36">
                  <c:v>1.0083500000000001</c:v>
                </c:pt>
                <c:pt idx="37">
                  <c:v>1.0084</c:v>
                </c:pt>
                <c:pt idx="38">
                  <c:v>1.0101500000000001</c:v>
                </c:pt>
                <c:pt idx="39">
                  <c:v>1.0102</c:v>
                </c:pt>
                <c:pt idx="40">
                  <c:v>1.0244500000000001</c:v>
                </c:pt>
                <c:pt idx="41">
                  <c:v>1.0245</c:v>
                </c:pt>
                <c:pt idx="42">
                  <c:v>1.02545</c:v>
                </c:pt>
                <c:pt idx="43">
                  <c:v>1.0255000000000001</c:v>
                </c:pt>
                <c:pt idx="44">
                  <c:v>1.0295000000000001</c:v>
                </c:pt>
                <c:pt idx="45">
                  <c:v>1.0298</c:v>
                </c:pt>
                <c:pt idx="46">
                  <c:v>1.1235999999999999</c:v>
                </c:pt>
                <c:pt idx="47">
                  <c:v>1.12615</c:v>
                </c:pt>
              </c:numCache>
            </c:numRef>
          </c:xVal>
          <c:yVal>
            <c:numRef>
              <c:f>Q_fit!$E$21:$E$68</c:f>
              <c:numCache>
                <c:formatCode>General</c:formatCode>
                <c:ptCount val="48"/>
                <c:pt idx="0">
                  <c:v>8.2500000280560926E-4</c:v>
                </c:pt>
                <c:pt idx="1">
                  <c:v>-6.9999999686842784E-4</c:v>
                </c:pt>
                <c:pt idx="2">
                  <c:v>2.7000000045518391E-3</c:v>
                </c:pt>
                <c:pt idx="3">
                  <c:v>5.0000000046566129E-3</c:v>
                </c:pt>
                <c:pt idx="4">
                  <c:v>6.0750000047846697E-3</c:v>
                </c:pt>
                <c:pt idx="5">
                  <c:v>4.8500000048079528E-3</c:v>
                </c:pt>
                <c:pt idx="6">
                  <c:v>5.6750000003376044E-3</c:v>
                </c:pt>
                <c:pt idx="7">
                  <c:v>3.3499999990453944E-3</c:v>
                </c:pt>
                <c:pt idx="8">
                  <c:v>6.9250000015017577E-3</c:v>
                </c:pt>
                <c:pt idx="9">
                  <c:v>6.100000005972106E-3</c:v>
                </c:pt>
                <c:pt idx="10">
                  <c:v>6.3500000032945536E-3</c:v>
                </c:pt>
                <c:pt idx="11">
                  <c:v>0</c:v>
                </c:pt>
                <c:pt idx="12">
                  <c:v>4.1250000067520887E-3</c:v>
                </c:pt>
                <c:pt idx="13">
                  <c:v>3.7000000011175871E-3</c:v>
                </c:pt>
                <c:pt idx="14">
                  <c:v>2.8750000055879354E-3</c:v>
                </c:pt>
                <c:pt idx="15">
                  <c:v>3.9499999984400347E-3</c:v>
                </c:pt>
                <c:pt idx="16">
                  <c:v>4.7500000000582077E-3</c:v>
                </c:pt>
                <c:pt idx="17">
                  <c:v>7.100000002537854E-3</c:v>
                </c:pt>
                <c:pt idx="18">
                  <c:v>6.0500000035972334E-3</c:v>
                </c:pt>
                <c:pt idx="19">
                  <c:v>6.7500000004656613E-3</c:v>
                </c:pt>
                <c:pt idx="20">
                  <c:v>6.9250000015017577E-3</c:v>
                </c:pt>
                <c:pt idx="21">
                  <c:v>7.2250000011990778E-3</c:v>
                </c:pt>
                <c:pt idx="22">
                  <c:v>8.2000000038533472E-3</c:v>
                </c:pt>
                <c:pt idx="23">
                  <c:v>6.8749999991268851E-3</c:v>
                </c:pt>
                <c:pt idx="24">
                  <c:v>9.5250000013038516E-3</c:v>
                </c:pt>
                <c:pt idx="25">
                  <c:v>1.1100000003352761E-2</c:v>
                </c:pt>
                <c:pt idx="26">
                  <c:v>1.314999999885913E-2</c:v>
                </c:pt>
                <c:pt idx="27">
                  <c:v>1.2524999998277053E-2</c:v>
                </c:pt>
                <c:pt idx="28">
                  <c:v>1.2551373292808421E-2</c:v>
                </c:pt>
                <c:pt idx="29">
                  <c:v>1.2700000006589107E-2</c:v>
                </c:pt>
                <c:pt idx="30">
                  <c:v>1.0575000000244472E-2</c:v>
                </c:pt>
                <c:pt idx="31">
                  <c:v>1.0600000001431908E-2</c:v>
                </c:pt>
                <c:pt idx="32">
                  <c:v>1.5575000004901085E-2</c:v>
                </c:pt>
                <c:pt idx="33">
                  <c:v>1.3450000005832408E-2</c:v>
                </c:pt>
                <c:pt idx="34">
                  <c:v>1.6025000004447065E-2</c:v>
                </c:pt>
                <c:pt idx="35">
                  <c:v>1.6150000003108289E-2</c:v>
                </c:pt>
                <c:pt idx="36">
                  <c:v>1.7724999997881241E-2</c:v>
                </c:pt>
                <c:pt idx="37">
                  <c:v>1.750000000174623E-2</c:v>
                </c:pt>
                <c:pt idx="38">
                  <c:v>1.8925000003946479E-2</c:v>
                </c:pt>
                <c:pt idx="39">
                  <c:v>1.6700000000128057E-2</c:v>
                </c:pt>
                <c:pt idx="40">
                  <c:v>1.7775000000256114E-2</c:v>
                </c:pt>
                <c:pt idx="41">
                  <c:v>1.705000000220025E-2</c:v>
                </c:pt>
                <c:pt idx="42">
                  <c:v>1.7375000003085006E-2</c:v>
                </c:pt>
                <c:pt idx="43">
                  <c:v>1.6650000005029142E-2</c:v>
                </c:pt>
                <c:pt idx="44">
                  <c:v>1.6450000002805609E-2</c:v>
                </c:pt>
                <c:pt idx="45">
                  <c:v>1.720000000204891E-2</c:v>
                </c:pt>
                <c:pt idx="46">
                  <c:v>1.320000000850996E-2</c:v>
                </c:pt>
                <c:pt idx="47">
                  <c:v>2.0824999999604188E-2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BC-4359-A861-54F5981D3EE5}"/>
            </c:ext>
          </c:extLst>
        </c:ser>
        <c:ser>
          <c:idx val="1"/>
          <c:order val="1"/>
          <c:tx>
            <c:strRef>
              <c:f>Q_fit!$W$1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Q_fit!$V$2:$V$21</c:f>
              <c:numCache>
                <c:formatCode>General</c:formatCode>
                <c:ptCount val="20"/>
                <c:pt idx="0">
                  <c:v>-0.6</c:v>
                </c:pt>
                <c:pt idx="1">
                  <c:v>-0.5</c:v>
                </c:pt>
                <c:pt idx="2">
                  <c:v>-0.4</c:v>
                </c:pt>
                <c:pt idx="3">
                  <c:v>-0.3</c:v>
                </c:pt>
                <c:pt idx="4">
                  <c:v>-0.2</c:v>
                </c:pt>
                <c:pt idx="5">
                  <c:v>-0.1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0.5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0.9</c:v>
                </c:pt>
                <c:pt idx="16">
                  <c:v>1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1.3</c:v>
                </c:pt>
              </c:numCache>
            </c:numRef>
          </c:xVal>
          <c:yVal>
            <c:numRef>
              <c:f>Q_fit!$W$2:$W$21</c:f>
              <c:numCache>
                <c:formatCode>General</c:formatCode>
                <c:ptCount val="20"/>
                <c:pt idx="0">
                  <c:v>4.1720017358004222E-3</c:v>
                </c:pt>
                <c:pt idx="1">
                  <c:v>3.7122256467783605E-3</c:v>
                </c:pt>
                <c:pt idx="2">
                  <c:v>3.4159900777232226E-3</c:v>
                </c:pt>
                <c:pt idx="3">
                  <c:v>3.2832950286350087E-3</c:v>
                </c:pt>
                <c:pt idx="4">
                  <c:v>3.3141404995137187E-3</c:v>
                </c:pt>
                <c:pt idx="5">
                  <c:v>3.508526490359353E-3</c:v>
                </c:pt>
                <c:pt idx="6">
                  <c:v>3.8664530011719117E-3</c:v>
                </c:pt>
                <c:pt idx="7">
                  <c:v>4.3879200319513947E-3</c:v>
                </c:pt>
                <c:pt idx="8">
                  <c:v>5.072927582697802E-3</c:v>
                </c:pt>
                <c:pt idx="9">
                  <c:v>5.9214756534111323E-3</c:v>
                </c:pt>
                <c:pt idx="10">
                  <c:v>6.9335642440913874E-3</c:v>
                </c:pt>
                <c:pt idx="11">
                  <c:v>8.1091933547385673E-3</c:v>
                </c:pt>
                <c:pt idx="12">
                  <c:v>9.4483629853526693E-3</c:v>
                </c:pt>
                <c:pt idx="13">
                  <c:v>1.0951073135933697E-2</c:v>
                </c:pt>
                <c:pt idx="14">
                  <c:v>1.261732380648165E-2</c:v>
                </c:pt>
                <c:pt idx="15">
                  <c:v>1.4447114996996526E-2</c:v>
                </c:pt>
                <c:pt idx="16">
                  <c:v>1.6440446707478323E-2</c:v>
                </c:pt>
                <c:pt idx="17">
                  <c:v>1.859731893792705E-2</c:v>
                </c:pt>
                <c:pt idx="18">
                  <c:v>2.0917731688342697E-2</c:v>
                </c:pt>
                <c:pt idx="19">
                  <c:v>2.3401684958725272E-2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BC-4359-A861-54F5981D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552368"/>
        <c:axId val="1"/>
      </c:scatterChart>
      <c:valAx>
        <c:axId val="8425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55236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542925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5B11534-05FE-AD4B-C27B-91897B04E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47625</xdr:rowOff>
    </xdr:from>
    <xdr:to>
      <xdr:col>26</xdr:col>
      <xdr:colOff>457200</xdr:colOff>
      <xdr:row>18</xdr:row>
      <xdr:rowOff>76200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2CAB20D-9EC2-C632-9E7C-B50E942D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10</xdr:row>
      <xdr:rowOff>9525</xdr:rowOff>
    </xdr:from>
    <xdr:to>
      <xdr:col>20</xdr:col>
      <xdr:colOff>161925</xdr:colOff>
      <xdr:row>37</xdr:row>
      <xdr:rowOff>95250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C932CAD2-94B2-D8B9-F454-8C0B3458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41" TargetMode="External"/><Relationship Id="rId13" Type="http://schemas.openxmlformats.org/officeDocument/2006/relationships/hyperlink" Target="http://www.bav-astro.de/sfs/BAVM_link.php?BAVMnr=220" TargetMode="External"/><Relationship Id="rId18" Type="http://schemas.openxmlformats.org/officeDocument/2006/relationships/hyperlink" Target="http://www.bav-astro.de/sfs/BAVM_link.php?BAVMnr=209" TargetMode="External"/><Relationship Id="rId26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6041" TargetMode="External"/><Relationship Id="rId21" Type="http://schemas.openxmlformats.org/officeDocument/2006/relationships/hyperlink" Target="http://www.konkoly.hu/cgi-bin/IBVS?5871" TargetMode="External"/><Relationship Id="rId7" Type="http://schemas.openxmlformats.org/officeDocument/2006/relationships/hyperlink" Target="http://www.konkoly.hu/cgi-bin/IBVS?6041" TargetMode="External"/><Relationship Id="rId12" Type="http://schemas.openxmlformats.org/officeDocument/2006/relationships/hyperlink" Target="http://www.bav-astro.de/sfs/BAVM_link.php?BAVMnr=220" TargetMode="External"/><Relationship Id="rId17" Type="http://schemas.openxmlformats.org/officeDocument/2006/relationships/hyperlink" Target="http://www.konkoly.hu/cgi-bin/IBVS?5920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29" TargetMode="External"/><Relationship Id="rId16" Type="http://schemas.openxmlformats.org/officeDocument/2006/relationships/hyperlink" Target="http://www.konkoly.hu/cgi-bin/IBVS?5945" TargetMode="External"/><Relationship Id="rId20" Type="http://schemas.openxmlformats.org/officeDocument/2006/relationships/hyperlink" Target="http://www.konkoly.hu/cgi-bin/IBVS?5929" TargetMode="External"/><Relationship Id="rId29" Type="http://schemas.openxmlformats.org/officeDocument/2006/relationships/hyperlink" Target="http://www.konkoly.hu/cgi-bin/IBVS?5713" TargetMode="External"/><Relationship Id="rId1" Type="http://schemas.openxmlformats.org/officeDocument/2006/relationships/hyperlink" Target="http://www.bav-astro.de/sfs/BAVM_link.php?BAVMnr=231" TargetMode="External"/><Relationship Id="rId6" Type="http://schemas.openxmlformats.org/officeDocument/2006/relationships/hyperlink" Target="http://www.konkoly.hu/cgi-bin/IBVS?6041" TargetMode="External"/><Relationship Id="rId11" Type="http://schemas.openxmlformats.org/officeDocument/2006/relationships/hyperlink" Target="http://www.bav-astro.de/sfs/BAVM_link.php?BAVMnr=220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konkoly.hu/cgi-bin/IBVS?6041" TargetMode="External"/><Relationship Id="rId15" Type="http://schemas.openxmlformats.org/officeDocument/2006/relationships/hyperlink" Target="http://www.bav-astro.de/sfs/BAVM_link.php?BAVMnr=214" TargetMode="External"/><Relationship Id="rId23" Type="http://schemas.openxmlformats.org/officeDocument/2006/relationships/hyperlink" Target="http://www.bav-astro.de/sfs/BAVM_link.php?BAVMnr=201" TargetMode="External"/><Relationship Id="rId28" Type="http://schemas.openxmlformats.org/officeDocument/2006/relationships/hyperlink" Target="http://www.konkoly.hu/cgi-bin/IBVS?5713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konkoly.hu/cgi-bin/IBVS?5653" TargetMode="External"/><Relationship Id="rId4" Type="http://schemas.openxmlformats.org/officeDocument/2006/relationships/hyperlink" Target="http://www.konkoly.hu/cgi-bin/IBVS?6041" TargetMode="External"/><Relationship Id="rId9" Type="http://schemas.openxmlformats.org/officeDocument/2006/relationships/hyperlink" Target="http://www.konkoly.hu/cgi-bin/IBVS?5992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51"/>
  <sheetViews>
    <sheetView tabSelected="1" workbookViewId="0">
      <pane xSplit="13" ySplit="21" topLeftCell="N69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3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0" ht="21" thickBot="1" x14ac:dyDescent="0.35">
      <c r="A1" s="1" t="s">
        <v>33</v>
      </c>
      <c r="S1" s="3" t="s">
        <v>10</v>
      </c>
      <c r="T1" s="3" t="s">
        <v>49</v>
      </c>
    </row>
    <row r="2" spans="1:20" s="59" customFormat="1" ht="12.95" customHeight="1" x14ac:dyDescent="0.2">
      <c r="A2" s="59" t="s">
        <v>23</v>
      </c>
      <c r="B2" s="59" t="s">
        <v>37</v>
      </c>
      <c r="C2" s="56" t="s">
        <v>34</v>
      </c>
      <c r="D2" s="60"/>
      <c r="S2" s="59">
        <v>-6000</v>
      </c>
      <c r="T2" s="59">
        <f>+D$11+D$12*S2+D$13*S2^2</f>
        <v>4.1719879676687509E-3</v>
      </c>
    </row>
    <row r="3" spans="1:20" s="59" customFormat="1" ht="12.95" customHeight="1" thickBot="1" x14ac:dyDescent="0.25">
      <c r="S3" s="59">
        <v>-5000</v>
      </c>
      <c r="T3" s="59">
        <f t="shared" ref="T3:T18" si="0">+D$11+D$12*S3+D$13*S3^2</f>
        <v>3.7122148234126082E-3</v>
      </c>
    </row>
    <row r="4" spans="1:20" s="59" customFormat="1" ht="12.95" customHeight="1" thickTop="1" thickBot="1" x14ac:dyDescent="0.25">
      <c r="A4" s="61" t="s">
        <v>0</v>
      </c>
      <c r="C4" s="62" t="s">
        <v>24</v>
      </c>
      <c r="D4" s="63" t="s">
        <v>24</v>
      </c>
      <c r="S4" s="59">
        <v>-4000</v>
      </c>
      <c r="T4" s="59">
        <f t="shared" si="0"/>
        <v>3.4159819112142432E-3</v>
      </c>
    </row>
    <row r="5" spans="1:20" s="59" customFormat="1" ht="12.95" customHeight="1" thickTop="1" x14ac:dyDescent="0.2">
      <c r="A5" s="64" t="s">
        <v>38</v>
      </c>
      <c r="C5" s="65">
        <v>-9.5</v>
      </c>
      <c r="D5" s="59" t="s">
        <v>39</v>
      </c>
      <c r="S5" s="59">
        <v>-3000</v>
      </c>
      <c r="T5" s="59">
        <f t="shared" si="0"/>
        <v>3.283289231073655E-3</v>
      </c>
    </row>
    <row r="6" spans="1:20" s="59" customFormat="1" ht="12.95" customHeight="1" x14ac:dyDescent="0.2">
      <c r="A6" s="61" t="s">
        <v>1</v>
      </c>
      <c r="S6" s="59">
        <v>-2000</v>
      </c>
      <c r="T6" s="59">
        <f t="shared" si="0"/>
        <v>3.3141367829908441E-3</v>
      </c>
    </row>
    <row r="7" spans="1:20" s="59" customFormat="1" ht="12.95" customHeight="1" x14ac:dyDescent="0.2">
      <c r="A7" s="59" t="s">
        <v>2</v>
      </c>
      <c r="C7" s="66">
        <v>52701.985999999997</v>
      </c>
      <c r="S7" s="59">
        <v>-1000</v>
      </c>
      <c r="T7" s="59">
        <f t="shared" si="0"/>
        <v>3.5085245669658105E-3</v>
      </c>
    </row>
    <row r="8" spans="1:20" s="59" customFormat="1" ht="12.95" customHeight="1" x14ac:dyDescent="0.2">
      <c r="A8" s="59" t="s">
        <v>3</v>
      </c>
      <c r="C8" s="66">
        <v>0.29804999999999998</v>
      </c>
      <c r="S8" s="59">
        <v>0</v>
      </c>
      <c r="T8" s="59">
        <f t="shared" si="0"/>
        <v>3.8664525829985538E-3</v>
      </c>
    </row>
    <row r="9" spans="1:20" s="59" customFormat="1" ht="12.95" customHeight="1" x14ac:dyDescent="0.2">
      <c r="A9" s="67" t="s">
        <v>45</v>
      </c>
      <c r="B9" s="55">
        <v>70</v>
      </c>
      <c r="C9" s="68" t="str">
        <f>"F"&amp;B9</f>
        <v>F70</v>
      </c>
      <c r="D9" s="69" t="str">
        <f>"G"&amp;B9</f>
        <v>G70</v>
      </c>
      <c r="S9" s="59">
        <v>1000</v>
      </c>
      <c r="T9" s="59">
        <f t="shared" si="0"/>
        <v>4.3879208310890743E-3</v>
      </c>
    </row>
    <row r="10" spans="1:20" s="59" customFormat="1" ht="12.95" customHeight="1" thickBot="1" x14ac:dyDescent="0.25">
      <c r="C10" s="70" t="s">
        <v>19</v>
      </c>
      <c r="D10" s="70" t="s">
        <v>20</v>
      </c>
      <c r="S10" s="59">
        <v>2000</v>
      </c>
      <c r="T10" s="59">
        <f t="shared" si="0"/>
        <v>5.0729293112373721E-3</v>
      </c>
    </row>
    <row r="11" spans="1:20" s="59" customFormat="1" ht="12.95" customHeight="1" x14ac:dyDescent="0.2">
      <c r="A11" s="59" t="s">
        <v>15</v>
      </c>
      <c r="C11" s="69">
        <f ca="1">INTERCEPT(INDIRECT($D$9):G983,INDIRECT($C$9):F983)</f>
        <v>1.6289021708049738E-2</v>
      </c>
      <c r="D11" s="60">
        <f>+E11*F11</f>
        <v>3.8664525829985538E-3</v>
      </c>
      <c r="E11" s="71">
        <v>38.664525829985536</v>
      </c>
      <c r="F11" s="59">
        <v>1E-4</v>
      </c>
      <c r="S11" s="59">
        <v>3000</v>
      </c>
      <c r="T11" s="59">
        <f t="shared" si="0"/>
        <v>5.9214780234434468E-3</v>
      </c>
    </row>
    <row r="12" spans="1:20" s="59" customFormat="1" ht="12.95" customHeight="1" x14ac:dyDescent="0.2">
      <c r="A12" s="59" t="s">
        <v>16</v>
      </c>
      <c r="C12" s="69">
        <f ca="1">SLOPE(INDIRECT($D$9):G983,INDIRECT($C$9):F983)</f>
        <v>8.9188722127200632E-7</v>
      </c>
      <c r="D12" s="60">
        <f>+E12*F12</f>
        <v>4.3969813206163186E-7</v>
      </c>
      <c r="E12" s="72">
        <v>0.43969813206163189</v>
      </c>
      <c r="F12" s="59">
        <v>9.9999999999999995E-7</v>
      </c>
      <c r="S12" s="59">
        <v>4000</v>
      </c>
      <c r="T12" s="59">
        <f t="shared" si="0"/>
        <v>6.9335669677072975E-3</v>
      </c>
    </row>
    <row r="13" spans="1:20" s="59" customFormat="1" ht="12.95" customHeight="1" thickBot="1" x14ac:dyDescent="0.25">
      <c r="A13" s="59" t="s">
        <v>18</v>
      </c>
      <c r="C13" s="60" t="s">
        <v>13</v>
      </c>
      <c r="D13" s="60">
        <f>+E13*F13</f>
        <v>8.1770116028888554E-11</v>
      </c>
      <c r="E13" s="73">
        <v>0.81770116028888551</v>
      </c>
      <c r="F13" s="59">
        <v>1E-10</v>
      </c>
      <c r="S13" s="59">
        <v>5000</v>
      </c>
      <c r="T13" s="59">
        <f t="shared" si="0"/>
        <v>8.1091961440289267E-3</v>
      </c>
    </row>
    <row r="14" spans="1:20" s="59" customFormat="1" ht="12.95" customHeight="1" x14ac:dyDescent="0.2">
      <c r="E14" s="59" t="e">
        <f>SUM(#REF!)</f>
        <v>#REF!</v>
      </c>
      <c r="S14" s="59">
        <v>6000</v>
      </c>
      <c r="T14" s="59">
        <f t="shared" si="0"/>
        <v>9.4483655524083329E-3</v>
      </c>
    </row>
    <row r="15" spans="1:20" s="59" customFormat="1" ht="12.95" customHeight="1" x14ac:dyDescent="0.2">
      <c r="A15" s="74" t="s">
        <v>17</v>
      </c>
      <c r="C15" s="75">
        <f ca="1">(C7+C11)+(C8+C12)*INT(MAX(F21:F3524))</f>
        <v>59354.796246836377</v>
      </c>
      <c r="D15" s="69">
        <f>+C7+INT(MAX(F21:F1579))*C8+D11+D12*INT(MAX(F21:F4014))+D13*INT(MAX(F21:F4041)^2)</f>
        <v>59354.81447286273</v>
      </c>
      <c r="E15" s="76" t="s">
        <v>283</v>
      </c>
      <c r="F15" s="65">
        <v>1</v>
      </c>
      <c r="S15" s="59">
        <v>7000</v>
      </c>
      <c r="T15" s="59">
        <f t="shared" si="0"/>
        <v>1.0951075192845517E-2</v>
      </c>
    </row>
    <row r="16" spans="1:20" s="59" customFormat="1" ht="12.95" customHeight="1" x14ac:dyDescent="0.2">
      <c r="A16" s="61" t="s">
        <v>4</v>
      </c>
      <c r="C16" s="77">
        <f ca="1">+C8+C12</f>
        <v>0.29805089188722128</v>
      </c>
      <c r="D16" s="68">
        <f>+C8+D12+2*D13*MAX(F21:F111)</f>
        <v>0.29805409016142193</v>
      </c>
      <c r="E16" s="76" t="s">
        <v>40</v>
      </c>
      <c r="F16" s="78">
        <f ca="1">NOW()+15018.5+$C$5/24</f>
        <v>60312.812359722222</v>
      </c>
      <c r="S16" s="59">
        <v>8000</v>
      </c>
      <c r="T16" s="59">
        <f t="shared" si="0"/>
        <v>1.2617325065340475E-2</v>
      </c>
    </row>
    <row r="17" spans="1:20" s="59" customFormat="1" ht="12.95" customHeight="1" thickBot="1" x14ac:dyDescent="0.25">
      <c r="A17" s="76" t="s">
        <v>25</v>
      </c>
      <c r="C17" s="59">
        <f>COUNT(C21:C2182)</f>
        <v>63</v>
      </c>
      <c r="E17" s="76" t="s">
        <v>284</v>
      </c>
      <c r="F17" s="78">
        <f ca="1">ROUND(2*(F16-$C$7)/$C$8,0)/2+F15</f>
        <v>25536.5</v>
      </c>
      <c r="S17" s="59">
        <v>9000</v>
      </c>
      <c r="T17" s="59">
        <f t="shared" si="0"/>
        <v>1.4447115169893212E-2</v>
      </c>
    </row>
    <row r="18" spans="1:20" s="59" customFormat="1" ht="12.95" customHeight="1" thickTop="1" thickBot="1" x14ac:dyDescent="0.25">
      <c r="A18" s="61" t="s">
        <v>5</v>
      </c>
      <c r="C18" s="79">
        <f ca="1">+C15</f>
        <v>59354.796246836377</v>
      </c>
      <c r="D18" s="80">
        <f ca="1">+C16</f>
        <v>0.29805089188722128</v>
      </c>
      <c r="E18" s="76" t="s">
        <v>41</v>
      </c>
      <c r="F18" s="69">
        <f ca="1">ROUND(2*(F16-$C$15)/$C$16,0)/2+F15</f>
        <v>3215.5</v>
      </c>
      <c r="S18" s="59">
        <v>10000</v>
      </c>
      <c r="T18" s="59">
        <f t="shared" si="0"/>
        <v>1.6440445506503726E-2</v>
      </c>
    </row>
    <row r="19" spans="1:20" s="59" customFormat="1" ht="12.95" customHeight="1" thickTop="1" thickBot="1" x14ac:dyDescent="0.25">
      <c r="A19" s="61" t="s">
        <v>50</v>
      </c>
      <c r="C19" s="81">
        <f>+D15</f>
        <v>59354.81447286273</v>
      </c>
      <c r="D19" s="82">
        <f>+D16</f>
        <v>0.29805409016142193</v>
      </c>
      <c r="E19" s="76" t="s">
        <v>42</v>
      </c>
      <c r="F19" s="83">
        <f ca="1">+$C$15+$C$16*F18-15018.5-$C$5/24</f>
        <v>45295.074723033074</v>
      </c>
      <c r="S19" s="59">
        <v>11000</v>
      </c>
      <c r="T19" s="59">
        <f t="shared" ref="T19:T26" si="1">+D$11+D$12*S19+D$13*S19^2</f>
        <v>1.8597316075172017E-2</v>
      </c>
    </row>
    <row r="20" spans="1:20" s="59" customFormat="1" ht="12.95" customHeight="1" thickBot="1" x14ac:dyDescent="0.25">
      <c r="A20" s="70" t="s">
        <v>6</v>
      </c>
      <c r="B20" s="70" t="s">
        <v>7</v>
      </c>
      <c r="C20" s="70" t="s">
        <v>8</v>
      </c>
      <c r="D20" s="70" t="s">
        <v>12</v>
      </c>
      <c r="E20" s="70" t="s">
        <v>9</v>
      </c>
      <c r="F20" s="70" t="s">
        <v>10</v>
      </c>
      <c r="G20" s="70" t="s">
        <v>11</v>
      </c>
      <c r="H20" s="84" t="s">
        <v>287</v>
      </c>
      <c r="I20" s="84" t="s">
        <v>288</v>
      </c>
      <c r="J20" s="84" t="s">
        <v>289</v>
      </c>
      <c r="K20" s="84" t="s">
        <v>290</v>
      </c>
      <c r="L20" s="84" t="s">
        <v>291</v>
      </c>
      <c r="M20" s="84" t="s">
        <v>292</v>
      </c>
      <c r="N20" s="84" t="s">
        <v>293</v>
      </c>
      <c r="O20" s="84" t="s">
        <v>22</v>
      </c>
      <c r="P20" s="85" t="s">
        <v>21</v>
      </c>
      <c r="Q20" s="70" t="s">
        <v>14</v>
      </c>
      <c r="S20" s="59">
        <v>12000</v>
      </c>
      <c r="T20" s="59">
        <f t="shared" si="1"/>
        <v>2.0917726875898088E-2</v>
      </c>
    </row>
    <row r="21" spans="1:20" s="59" customFormat="1" ht="12.95" customHeight="1" x14ac:dyDescent="0.2">
      <c r="A21" s="59" t="s">
        <v>35</v>
      </c>
      <c r="B21" s="60" t="s">
        <v>28</v>
      </c>
      <c r="C21" s="86">
        <v>51265.832900000001</v>
      </c>
      <c r="D21" s="86">
        <v>4.0000000000000002E-4</v>
      </c>
      <c r="E21" s="59">
        <f t="shared" ref="E21:E52" si="2">+(C21-C$7)/C$8</f>
        <v>-4818.4972320080387</v>
      </c>
      <c r="F21" s="59">
        <f t="shared" ref="F21:F52" si="3">ROUND(2*E21,0)/2</f>
        <v>-4818.5</v>
      </c>
      <c r="G21" s="59">
        <f t="shared" ref="G21:G52" si="4">+C21-(C$7+F21*C$8)</f>
        <v>8.2500000280560926E-4</v>
      </c>
      <c r="I21" s="59">
        <f>+G21</f>
        <v>8.2500000280560926E-4</v>
      </c>
      <c r="O21" s="59">
        <f t="shared" ref="O21:O52" ca="1" si="5">+C$11+C$12*$F21</f>
        <v>1.1991463132350576E-2</v>
      </c>
      <c r="P21" s="59">
        <f t="shared" ref="P21:P52" si="6">+D$11+D$12*F21+D$13*F21^2</f>
        <v>3.6463009653941144E-3</v>
      </c>
      <c r="Q21" s="87">
        <f t="shared" ref="Q21:Q52" si="7">+C21-15018.5</f>
        <v>36247.332900000001</v>
      </c>
      <c r="R21" s="59">
        <f t="shared" ref="R21:R52" si="8">+(P21-G21)^2</f>
        <v>7.9597391215028252E-6</v>
      </c>
      <c r="S21" s="59">
        <v>13000</v>
      </c>
      <c r="T21" s="59">
        <f t="shared" si="1"/>
        <v>2.3401677908681934E-2</v>
      </c>
    </row>
    <row r="22" spans="1:20" s="59" customFormat="1" ht="12.95" customHeight="1" x14ac:dyDescent="0.2">
      <c r="A22" s="59" t="s">
        <v>35</v>
      </c>
      <c r="B22" s="60" t="s">
        <v>30</v>
      </c>
      <c r="C22" s="86">
        <v>51265.9804</v>
      </c>
      <c r="D22" s="86">
        <v>4.0000000000000002E-4</v>
      </c>
      <c r="E22" s="59">
        <f t="shared" si="2"/>
        <v>-4818.0023485992178</v>
      </c>
      <c r="F22" s="59">
        <f t="shared" si="3"/>
        <v>-4818</v>
      </c>
      <c r="G22" s="59">
        <f t="shared" si="4"/>
        <v>-6.9999999686842784E-4</v>
      </c>
      <c r="I22" s="59">
        <f>+G22</f>
        <v>-6.9999999686842784E-4</v>
      </c>
      <c r="O22" s="59">
        <f t="shared" ca="1" si="5"/>
        <v>1.1991909075961212E-2</v>
      </c>
      <c r="P22" s="59">
        <f t="shared" si="6"/>
        <v>3.646126825598589E-3</v>
      </c>
      <c r="Q22" s="87">
        <f t="shared" si="7"/>
        <v>36247.4804</v>
      </c>
      <c r="R22" s="59">
        <f t="shared" si="8"/>
        <v>1.888881835696725E-5</v>
      </c>
      <c r="S22" s="59">
        <v>14000</v>
      </c>
      <c r="T22" s="59">
        <f t="shared" si="1"/>
        <v>2.6049169173523557E-2</v>
      </c>
    </row>
    <row r="23" spans="1:20" s="59" customFormat="1" ht="12.95" customHeight="1" x14ac:dyDescent="0.2">
      <c r="A23" s="88" t="s">
        <v>144</v>
      </c>
      <c r="B23" s="60" t="s">
        <v>30</v>
      </c>
      <c r="C23" s="89">
        <v>52056.412400000001</v>
      </c>
      <c r="D23" s="90" t="s">
        <v>280</v>
      </c>
      <c r="E23" s="91">
        <f t="shared" si="2"/>
        <v>-2165.9909411172493</v>
      </c>
      <c r="F23" s="59">
        <f t="shared" si="3"/>
        <v>-2166</v>
      </c>
      <c r="G23" s="59">
        <f t="shared" si="4"/>
        <v>2.7000000045518391E-3</v>
      </c>
      <c r="J23" s="59">
        <f>+G23</f>
        <v>2.7000000045518391E-3</v>
      </c>
      <c r="O23" s="59">
        <f t="shared" ca="1" si="5"/>
        <v>1.4357193986774573E-2</v>
      </c>
      <c r="P23" s="59">
        <f t="shared" si="6"/>
        <v>3.2976955074290873E-3</v>
      </c>
      <c r="Q23" s="87">
        <f t="shared" si="7"/>
        <v>37037.912400000001</v>
      </c>
      <c r="R23" s="59">
        <f t="shared" si="8"/>
        <v>3.5723991415968656E-7</v>
      </c>
      <c r="S23" s="59">
        <v>15000</v>
      </c>
      <c r="T23" s="59">
        <f t="shared" si="1"/>
        <v>2.8860200670422956E-2</v>
      </c>
    </row>
    <row r="24" spans="1:20" s="59" customFormat="1" ht="12.95" customHeight="1" x14ac:dyDescent="0.2">
      <c r="A24" s="92" t="s">
        <v>36</v>
      </c>
      <c r="B24" s="93" t="s">
        <v>30</v>
      </c>
      <c r="C24" s="94">
        <v>52056.414700000001</v>
      </c>
      <c r="D24" s="94"/>
      <c r="E24" s="95">
        <f t="shared" si="2"/>
        <v>-2165.983224291213</v>
      </c>
      <c r="F24" s="59">
        <f t="shared" si="3"/>
        <v>-2166</v>
      </c>
      <c r="G24" s="59">
        <f t="shared" si="4"/>
        <v>5.0000000046566129E-3</v>
      </c>
      <c r="K24" s="59">
        <f>+G24</f>
        <v>5.0000000046566129E-3</v>
      </c>
      <c r="O24" s="59">
        <f t="shared" ca="1" si="5"/>
        <v>1.4357193986774573E-2</v>
      </c>
      <c r="P24" s="59">
        <f t="shared" si="6"/>
        <v>3.2976955074290873E-3</v>
      </c>
      <c r="Q24" s="87">
        <f t="shared" si="7"/>
        <v>37037.914700000001</v>
      </c>
      <c r="R24" s="59">
        <f t="shared" si="8"/>
        <v>2.8978406012810589E-6</v>
      </c>
      <c r="S24" s="59">
        <v>16000</v>
      </c>
      <c r="T24" s="59">
        <f t="shared" si="1"/>
        <v>3.183477239938013E-2</v>
      </c>
    </row>
    <row r="25" spans="1:20" s="59" customFormat="1" ht="12.95" customHeight="1" x14ac:dyDescent="0.2">
      <c r="A25" s="88" t="s">
        <v>144</v>
      </c>
      <c r="B25" s="60" t="s">
        <v>28</v>
      </c>
      <c r="C25" s="89">
        <v>52056.5648</v>
      </c>
      <c r="D25" s="90" t="s">
        <v>280</v>
      </c>
      <c r="E25" s="91">
        <f t="shared" si="2"/>
        <v>-2165.4796175138304</v>
      </c>
      <c r="F25" s="59">
        <f t="shared" si="3"/>
        <v>-2165.5</v>
      </c>
      <c r="G25" s="59">
        <f t="shared" si="4"/>
        <v>6.0750000047846697E-3</v>
      </c>
      <c r="J25" s="59">
        <f t="shared" ref="J25:J31" si="9">+G25</f>
        <v>6.0750000047846697E-3</v>
      </c>
      <c r="O25" s="59">
        <f t="shared" ca="1" si="5"/>
        <v>1.4357639930385208E-2</v>
      </c>
      <c r="P25" s="59">
        <f t="shared" si="6"/>
        <v>3.2977382628663287E-3</v>
      </c>
      <c r="Q25" s="87">
        <f t="shared" si="7"/>
        <v>37038.0648</v>
      </c>
      <c r="R25" s="59">
        <f t="shared" si="8"/>
        <v>7.7131827831232984E-6</v>
      </c>
      <c r="S25" s="59">
        <v>17000</v>
      </c>
      <c r="T25" s="59">
        <f t="shared" si="1"/>
        <v>3.4972884360395085E-2</v>
      </c>
    </row>
    <row r="26" spans="1:20" s="59" customFormat="1" ht="12.95" customHeight="1" x14ac:dyDescent="0.2">
      <c r="A26" s="88" t="s">
        <v>144</v>
      </c>
      <c r="B26" s="60" t="s">
        <v>30</v>
      </c>
      <c r="C26" s="89">
        <v>52058.500899999999</v>
      </c>
      <c r="D26" s="90" t="s">
        <v>280</v>
      </c>
      <c r="E26" s="91">
        <f t="shared" si="2"/>
        <v>-2158.9837275624832</v>
      </c>
      <c r="F26" s="59">
        <f t="shared" si="3"/>
        <v>-2159</v>
      </c>
      <c r="G26" s="59">
        <f t="shared" si="4"/>
        <v>4.8500000048079528E-3</v>
      </c>
      <c r="J26" s="59">
        <f t="shared" si="9"/>
        <v>4.8500000048079528E-3</v>
      </c>
      <c r="O26" s="59">
        <f t="shared" ca="1" si="5"/>
        <v>1.4363437197323477E-2</v>
      </c>
      <c r="P26" s="59">
        <f t="shared" si="6"/>
        <v>3.2982978040907445E-3</v>
      </c>
      <c r="Q26" s="87">
        <f t="shared" si="7"/>
        <v>37040.000899999999</v>
      </c>
      <c r="R26" s="59">
        <f t="shared" si="8"/>
        <v>2.4077797197106275E-6</v>
      </c>
      <c r="S26" s="59">
        <v>18000</v>
      </c>
      <c r="T26" s="59">
        <f t="shared" si="1"/>
        <v>3.8274536553467818E-2</v>
      </c>
    </row>
    <row r="27" spans="1:20" s="59" customFormat="1" ht="12.95" customHeight="1" x14ac:dyDescent="0.2">
      <c r="A27" s="88" t="s">
        <v>144</v>
      </c>
      <c r="B27" s="60" t="s">
        <v>28</v>
      </c>
      <c r="C27" s="89">
        <v>52065.505899999996</v>
      </c>
      <c r="D27" s="90" t="s">
        <v>280</v>
      </c>
      <c r="E27" s="91">
        <f t="shared" si="2"/>
        <v>-2135.4809595705442</v>
      </c>
      <c r="F27" s="59">
        <f t="shared" si="3"/>
        <v>-2135.5</v>
      </c>
      <c r="G27" s="59">
        <f t="shared" si="4"/>
        <v>5.6750000003376044E-3</v>
      </c>
      <c r="J27" s="59">
        <f t="shared" si="9"/>
        <v>5.6750000003376044E-3</v>
      </c>
      <c r="O27" s="59">
        <f t="shared" ca="1" si="5"/>
        <v>1.4384396547023368E-2</v>
      </c>
      <c r="P27" s="59">
        <f t="shared" si="6"/>
        <v>3.3003784087569698E-3</v>
      </c>
      <c r="Q27" s="87">
        <f t="shared" si="7"/>
        <v>37047.005899999996</v>
      </c>
      <c r="R27" s="59">
        <f t="shared" si="8"/>
        <v>5.6388277032009462E-6</v>
      </c>
      <c r="S27" s="59">
        <v>19000</v>
      </c>
      <c r="T27" s="59">
        <f>+D$11+D$12*S27+D$13*S27^2</f>
        <v>4.1739728978598331E-2</v>
      </c>
    </row>
    <row r="28" spans="1:20" s="59" customFormat="1" ht="12.95" customHeight="1" x14ac:dyDescent="0.2">
      <c r="A28" s="88" t="s">
        <v>144</v>
      </c>
      <c r="B28" s="60" t="s">
        <v>30</v>
      </c>
      <c r="C28" s="89">
        <v>52073.401899999997</v>
      </c>
      <c r="D28" s="90" t="s">
        <v>280</v>
      </c>
      <c r="E28" s="91">
        <f t="shared" si="2"/>
        <v>-2108.9887602751219</v>
      </c>
      <c r="F28" s="59">
        <f t="shared" si="3"/>
        <v>-2109</v>
      </c>
      <c r="G28" s="59">
        <f t="shared" si="4"/>
        <v>3.3499999990453944E-3</v>
      </c>
      <c r="J28" s="59">
        <f t="shared" si="9"/>
        <v>3.3499999990453944E-3</v>
      </c>
      <c r="O28" s="59">
        <f t="shared" ca="1" si="5"/>
        <v>1.4408031558387076E-2</v>
      </c>
      <c r="P28" s="59">
        <f t="shared" si="6"/>
        <v>3.3028329679332608E-3</v>
      </c>
      <c r="Q28" s="87">
        <f t="shared" si="7"/>
        <v>37054.901899999997</v>
      </c>
      <c r="R28" s="59">
        <f t="shared" si="8"/>
        <v>2.2247288239329764E-9</v>
      </c>
    </row>
    <row r="29" spans="1:20" s="59" customFormat="1" ht="12.95" customHeight="1" x14ac:dyDescent="0.2">
      <c r="A29" s="88" t="s">
        <v>144</v>
      </c>
      <c r="B29" s="60" t="s">
        <v>28</v>
      </c>
      <c r="C29" s="89">
        <v>52073.554499999998</v>
      </c>
      <c r="D29" s="90" t="s">
        <v>280</v>
      </c>
      <c r="E29" s="91">
        <f t="shared" si="2"/>
        <v>-2108.4767656433446</v>
      </c>
      <c r="F29" s="59">
        <f t="shared" si="3"/>
        <v>-2108.5</v>
      </c>
      <c r="G29" s="59">
        <f t="shared" si="4"/>
        <v>6.9250000015017577E-3</v>
      </c>
      <c r="J29" s="59">
        <f t="shared" si="9"/>
        <v>6.9250000015017577E-3</v>
      </c>
      <c r="O29" s="59">
        <f t="shared" ca="1" si="5"/>
        <v>1.4408477501997712E-2</v>
      </c>
      <c r="P29" s="59">
        <f t="shared" si="6"/>
        <v>3.3028803842671157E-3</v>
      </c>
      <c r="Q29" s="87">
        <f t="shared" si="7"/>
        <v>37055.054499999998</v>
      </c>
      <c r="R29" s="59">
        <f t="shared" si="8"/>
        <v>1.3119750521556029E-5</v>
      </c>
    </row>
    <row r="30" spans="1:20" s="59" customFormat="1" ht="12.95" customHeight="1" x14ac:dyDescent="0.2">
      <c r="A30" s="88" t="s">
        <v>144</v>
      </c>
      <c r="B30" s="60" t="s">
        <v>30</v>
      </c>
      <c r="C30" s="89">
        <v>52075.491000000002</v>
      </c>
      <c r="D30" s="90" t="s">
        <v>280</v>
      </c>
      <c r="E30" s="91">
        <f t="shared" si="2"/>
        <v>-2101.9795336352804</v>
      </c>
      <c r="F30" s="59">
        <f t="shared" si="3"/>
        <v>-2102</v>
      </c>
      <c r="G30" s="59">
        <f t="shared" si="4"/>
        <v>6.100000005972106E-3</v>
      </c>
      <c r="J30" s="59">
        <f t="shared" si="9"/>
        <v>6.100000005972106E-3</v>
      </c>
      <c r="O30" s="59">
        <f t="shared" ca="1" si="5"/>
        <v>1.441427476893598E-2</v>
      </c>
      <c r="P30" s="59">
        <f t="shared" si="6"/>
        <v>3.3035005171475089E-3</v>
      </c>
      <c r="Q30" s="87">
        <f t="shared" si="7"/>
        <v>37056.991000000002</v>
      </c>
      <c r="R30" s="59">
        <f t="shared" si="8"/>
        <v>7.8204093909962328E-6</v>
      </c>
    </row>
    <row r="31" spans="1:20" s="59" customFormat="1" ht="12.95" customHeight="1" x14ac:dyDescent="0.2">
      <c r="A31" s="88" t="s">
        <v>159</v>
      </c>
      <c r="B31" s="60" t="s">
        <v>30</v>
      </c>
      <c r="C31" s="89">
        <v>52411.393600000003</v>
      </c>
      <c r="D31" s="90" t="s">
        <v>280</v>
      </c>
      <c r="E31" s="91">
        <f t="shared" si="2"/>
        <v>-974.97869484983767</v>
      </c>
      <c r="F31" s="59">
        <f t="shared" si="3"/>
        <v>-975</v>
      </c>
      <c r="G31" s="59">
        <f t="shared" si="4"/>
        <v>6.3500000032945536E-3</v>
      </c>
      <c r="J31" s="59">
        <f t="shared" si="9"/>
        <v>6.3500000032945536E-3</v>
      </c>
      <c r="O31" s="59">
        <f t="shared" ca="1" si="5"/>
        <v>1.5419431667309531E-2</v>
      </c>
      <c r="P31" s="59">
        <f t="shared" si="6"/>
        <v>3.5154796207884247E-3</v>
      </c>
      <c r="Q31" s="87">
        <f t="shared" si="7"/>
        <v>37392.893600000003</v>
      </c>
      <c r="R31" s="59">
        <f t="shared" si="8"/>
        <v>8.034505798842691E-6</v>
      </c>
    </row>
    <row r="32" spans="1:20" s="59" customFormat="1" ht="12.95" customHeight="1" x14ac:dyDescent="0.2">
      <c r="A32" s="59" t="s">
        <v>26</v>
      </c>
      <c r="C32" s="94">
        <v>52701.985999999997</v>
      </c>
      <c r="D32" s="94" t="s">
        <v>13</v>
      </c>
      <c r="E32" s="95">
        <f t="shared" si="2"/>
        <v>0</v>
      </c>
      <c r="F32" s="59">
        <f t="shared" si="3"/>
        <v>0</v>
      </c>
      <c r="G32" s="59">
        <f t="shared" si="4"/>
        <v>0</v>
      </c>
      <c r="H32" s="59">
        <f>+G32</f>
        <v>0</v>
      </c>
      <c r="O32" s="59">
        <f t="shared" ca="1" si="5"/>
        <v>1.6289021708049738E-2</v>
      </c>
      <c r="P32" s="59">
        <f t="shared" si="6"/>
        <v>3.8664525829985538E-3</v>
      </c>
      <c r="Q32" s="87">
        <f t="shared" si="7"/>
        <v>37683.485999999997</v>
      </c>
      <c r="R32" s="59">
        <f t="shared" si="8"/>
        <v>1.4949455576576188E-5</v>
      </c>
    </row>
    <row r="33" spans="1:18" s="59" customFormat="1" ht="12.95" customHeight="1" x14ac:dyDescent="0.2">
      <c r="A33" s="66" t="s">
        <v>27</v>
      </c>
      <c r="B33" s="44" t="s">
        <v>28</v>
      </c>
      <c r="C33" s="52">
        <v>52764.431600000004</v>
      </c>
      <c r="D33" s="52">
        <v>4.0000000000000002E-4</v>
      </c>
      <c r="E33" s="95">
        <f t="shared" si="2"/>
        <v>209.51383995975971</v>
      </c>
      <c r="F33" s="59">
        <f t="shared" si="3"/>
        <v>209.5</v>
      </c>
      <c r="G33" s="59">
        <f t="shared" si="4"/>
        <v>4.1250000067520887E-3</v>
      </c>
      <c r="K33" s="59">
        <f>+G33</f>
        <v>4.1250000067520887E-3</v>
      </c>
      <c r="O33" s="59">
        <f t="shared" ca="1" si="5"/>
        <v>1.6475872080906222E-2</v>
      </c>
      <c r="P33" s="59">
        <f t="shared" si="6"/>
        <v>3.9621582525005026E-3</v>
      </c>
      <c r="Q33" s="87">
        <f t="shared" si="7"/>
        <v>37745.931600000004</v>
      </c>
      <c r="R33" s="59">
        <f t="shared" si="8"/>
        <v>2.651743692773394E-8</v>
      </c>
    </row>
    <row r="34" spans="1:18" s="59" customFormat="1" ht="12.95" customHeight="1" x14ac:dyDescent="0.2">
      <c r="A34" s="66" t="s">
        <v>29</v>
      </c>
      <c r="B34" s="44" t="s">
        <v>30</v>
      </c>
      <c r="C34" s="7">
        <v>53216.423999999999</v>
      </c>
      <c r="D34" s="7">
        <v>1.6999999999999999E-3</v>
      </c>
      <c r="E34" s="59">
        <f t="shared" si="2"/>
        <v>1726.0124140244991</v>
      </c>
      <c r="F34" s="59">
        <f t="shared" si="3"/>
        <v>1726</v>
      </c>
      <c r="G34" s="59">
        <f t="shared" si="4"/>
        <v>3.7000000011175871E-3</v>
      </c>
      <c r="K34" s="59">
        <f>+G34</f>
        <v>3.7000000011175871E-3</v>
      </c>
      <c r="O34" s="59">
        <f t="shared" ca="1" si="5"/>
        <v>1.7828419051965222E-2</v>
      </c>
      <c r="P34" s="59">
        <f t="shared" si="6"/>
        <v>4.868970949115807E-3</v>
      </c>
      <c r="Q34" s="87">
        <f t="shared" si="7"/>
        <v>38197.923999999999</v>
      </c>
      <c r="R34" s="59">
        <f t="shared" si="8"/>
        <v>1.3664930772638571E-6</v>
      </c>
    </row>
    <row r="35" spans="1:18" s="59" customFormat="1" ht="12.95" customHeight="1" x14ac:dyDescent="0.2">
      <c r="A35" s="66" t="s">
        <v>29</v>
      </c>
      <c r="B35" s="44" t="s">
        <v>28</v>
      </c>
      <c r="C35" s="7">
        <v>53216.572200000002</v>
      </c>
      <c r="D35" s="7">
        <v>4.0000000000000002E-4</v>
      </c>
      <c r="E35" s="59">
        <f t="shared" si="2"/>
        <v>1726.5096460325624</v>
      </c>
      <c r="F35" s="59">
        <f t="shared" si="3"/>
        <v>1726.5</v>
      </c>
      <c r="G35" s="59">
        <f t="shared" si="4"/>
        <v>2.8750000055879354E-3</v>
      </c>
      <c r="K35" s="59">
        <f>+G35</f>
        <v>2.8750000055879354E-3</v>
      </c>
      <c r="O35" s="59">
        <f t="shared" ca="1" si="5"/>
        <v>1.7828864995575858E-2</v>
      </c>
      <c r="P35" s="59">
        <f t="shared" si="6"/>
        <v>4.8693319538446337E-3</v>
      </c>
      <c r="Q35" s="87">
        <f t="shared" si="7"/>
        <v>38198.072200000002</v>
      </c>
      <c r="R35" s="59">
        <f t="shared" si="8"/>
        <v>3.9773599198373575E-6</v>
      </c>
    </row>
    <row r="36" spans="1:18" s="59" customFormat="1" ht="12.95" customHeight="1" x14ac:dyDescent="0.2">
      <c r="A36" s="66" t="s">
        <v>31</v>
      </c>
      <c r="B36" s="96"/>
      <c r="C36" s="97">
        <v>53565.440799999997</v>
      </c>
      <c r="D36" s="97">
        <v>8.0000000000000004E-4</v>
      </c>
      <c r="E36" s="59">
        <f t="shared" si="2"/>
        <v>2897.0132528099298</v>
      </c>
      <c r="F36" s="59">
        <f t="shared" si="3"/>
        <v>2897</v>
      </c>
      <c r="G36" s="59">
        <f t="shared" si="4"/>
        <v>3.9499999984400347E-3</v>
      </c>
      <c r="J36" s="59">
        <f>+G36</f>
        <v>3.9499999984400347E-3</v>
      </c>
      <c r="O36" s="59">
        <f t="shared" ca="1" si="5"/>
        <v>1.887281898807474E-2</v>
      </c>
      <c r="P36" s="59">
        <f t="shared" si="6"/>
        <v>5.8265226832961954E-3</v>
      </c>
      <c r="Q36" s="87">
        <f t="shared" si="7"/>
        <v>38546.940799999997</v>
      </c>
      <c r="R36" s="59">
        <f t="shared" si="8"/>
        <v>3.5213373867797738E-6</v>
      </c>
    </row>
    <row r="37" spans="1:18" s="59" customFormat="1" ht="12.95" customHeight="1" x14ac:dyDescent="0.2">
      <c r="A37" s="92" t="s">
        <v>32</v>
      </c>
      <c r="B37" s="93" t="s">
        <v>30</v>
      </c>
      <c r="C37" s="98">
        <v>53614.321799999998</v>
      </c>
      <c r="D37" s="98">
        <v>8.0000000000000004E-4</v>
      </c>
      <c r="E37" s="59">
        <f t="shared" si="2"/>
        <v>3061.0159369233379</v>
      </c>
      <c r="F37" s="59">
        <f t="shared" si="3"/>
        <v>3061</v>
      </c>
      <c r="G37" s="59">
        <f t="shared" si="4"/>
        <v>4.7500000000582077E-3</v>
      </c>
      <c r="J37" s="59">
        <f>+G37</f>
        <v>4.7500000000582077E-3</v>
      </c>
      <c r="O37" s="59">
        <f t="shared" ca="1" si="5"/>
        <v>1.9019088492363348E-2</v>
      </c>
      <c r="P37" s="59">
        <f t="shared" si="6"/>
        <v>5.9785317385675227E-3</v>
      </c>
      <c r="Q37" s="87">
        <f t="shared" si="7"/>
        <v>38595.821799999998</v>
      </c>
      <c r="R37" s="59">
        <f t="shared" si="8"/>
        <v>1.50929023252472E-6</v>
      </c>
    </row>
    <row r="38" spans="1:18" s="59" customFormat="1" ht="12.95" customHeight="1" x14ac:dyDescent="0.2">
      <c r="A38" s="92" t="s">
        <v>32</v>
      </c>
      <c r="B38" s="93" t="s">
        <v>30</v>
      </c>
      <c r="C38" s="98">
        <v>53917.440999999999</v>
      </c>
      <c r="D38" s="98">
        <v>4.0000000000000001E-3</v>
      </c>
      <c r="E38" s="59">
        <f t="shared" si="2"/>
        <v>4078.0238215064646</v>
      </c>
      <c r="F38" s="59">
        <f t="shared" si="3"/>
        <v>4078</v>
      </c>
      <c r="G38" s="59">
        <f t="shared" si="4"/>
        <v>7.100000002537854E-3</v>
      </c>
      <c r="J38" s="59">
        <f>+G38</f>
        <v>7.100000002537854E-3</v>
      </c>
      <c r="O38" s="59">
        <f t="shared" ca="1" si="5"/>
        <v>1.992613779639698E-2</v>
      </c>
      <c r="P38" s="59">
        <f t="shared" si="6"/>
        <v>7.0193854637960514E-3</v>
      </c>
      <c r="Q38" s="87">
        <f t="shared" si="7"/>
        <v>38898.940999999999</v>
      </c>
      <c r="R38" s="59">
        <f t="shared" si="8"/>
        <v>6.4987038565535906E-9</v>
      </c>
    </row>
    <row r="39" spans="1:18" s="59" customFormat="1" ht="12.95" customHeight="1" x14ac:dyDescent="0.2">
      <c r="A39" s="7" t="s">
        <v>44</v>
      </c>
      <c r="B39" s="96"/>
      <c r="C39" s="7">
        <v>54210.4231</v>
      </c>
      <c r="D39" s="7">
        <v>1.4E-3</v>
      </c>
      <c r="E39" s="59">
        <f t="shared" si="2"/>
        <v>5061.0202986076256</v>
      </c>
      <c r="F39" s="59">
        <f t="shared" si="3"/>
        <v>5061</v>
      </c>
      <c r="G39" s="59">
        <f t="shared" si="4"/>
        <v>6.0500000035972334E-3</v>
      </c>
      <c r="J39" s="59">
        <f>+G39</f>
        <v>6.0500000035972334E-3</v>
      </c>
      <c r="O39" s="59">
        <f t="shared" ca="1" si="5"/>
        <v>2.0802862934907362E-2</v>
      </c>
      <c r="P39" s="59">
        <f t="shared" si="6"/>
        <v>8.1862017674640512E-3</v>
      </c>
      <c r="Q39" s="87">
        <f t="shared" si="7"/>
        <v>39191.9231</v>
      </c>
      <c r="R39" s="59">
        <f t="shared" si="8"/>
        <v>4.5633579759477036E-6</v>
      </c>
    </row>
    <row r="40" spans="1:18" s="59" customFormat="1" ht="12.95" customHeight="1" x14ac:dyDescent="0.2">
      <c r="A40" s="7" t="s">
        <v>43</v>
      </c>
      <c r="B40" s="44" t="s">
        <v>30</v>
      </c>
      <c r="C40" s="7">
        <v>54210.423799999997</v>
      </c>
      <c r="D40" s="7">
        <v>2.9999999999999997E-4</v>
      </c>
      <c r="E40" s="59">
        <f t="shared" si="2"/>
        <v>5061.0226472068434</v>
      </c>
      <c r="F40" s="59">
        <f t="shared" si="3"/>
        <v>5061</v>
      </c>
      <c r="G40" s="59">
        <f t="shared" si="4"/>
        <v>6.7500000004656613E-3</v>
      </c>
      <c r="K40" s="59">
        <f>+G40</f>
        <v>6.7500000004656613E-3</v>
      </c>
      <c r="O40" s="59">
        <f t="shared" ca="1" si="5"/>
        <v>2.0802862934907362E-2</v>
      </c>
      <c r="P40" s="59">
        <f t="shared" si="6"/>
        <v>8.1862017674640512E-3</v>
      </c>
      <c r="Q40" s="87">
        <f t="shared" si="7"/>
        <v>39191.923799999997</v>
      </c>
      <c r="R40" s="59">
        <f t="shared" si="8"/>
        <v>2.0626755155292977E-6</v>
      </c>
    </row>
    <row r="41" spans="1:18" s="59" customFormat="1" ht="12.95" customHeight="1" x14ac:dyDescent="0.2">
      <c r="A41" s="7" t="s">
        <v>44</v>
      </c>
      <c r="B41" s="96"/>
      <c r="C41" s="7">
        <v>54210.572999999997</v>
      </c>
      <c r="D41" s="7">
        <v>2.0000000000000001E-4</v>
      </c>
      <c r="E41" s="59">
        <f t="shared" si="2"/>
        <v>5061.5232343566504</v>
      </c>
      <c r="F41" s="59">
        <f t="shared" si="3"/>
        <v>5061.5</v>
      </c>
      <c r="G41" s="59">
        <f t="shared" si="4"/>
        <v>6.9250000015017577E-3</v>
      </c>
      <c r="J41" s="59">
        <f>+G41</f>
        <v>6.9250000015017577E-3</v>
      </c>
      <c r="O41" s="59">
        <f t="shared" ca="1" si="5"/>
        <v>2.0803308878517997E-2</v>
      </c>
      <c r="P41" s="59">
        <f t="shared" si="6"/>
        <v>8.1868354755298342E-3</v>
      </c>
      <c r="Q41" s="87">
        <f t="shared" si="7"/>
        <v>39192.072999999997</v>
      </c>
      <c r="R41" s="59">
        <f t="shared" si="8"/>
        <v>1.5922287635156606E-6</v>
      </c>
    </row>
    <row r="42" spans="1:18" s="59" customFormat="1" ht="12.95" customHeight="1" x14ac:dyDescent="0.2">
      <c r="A42" s="7" t="s">
        <v>43</v>
      </c>
      <c r="B42" s="44" t="s">
        <v>28</v>
      </c>
      <c r="C42" s="7">
        <v>54210.573299999996</v>
      </c>
      <c r="D42" s="7">
        <v>2.9999999999999997E-4</v>
      </c>
      <c r="E42" s="59">
        <f t="shared" si="2"/>
        <v>5061.5242408991753</v>
      </c>
      <c r="F42" s="59">
        <f t="shared" si="3"/>
        <v>5061.5</v>
      </c>
      <c r="G42" s="59">
        <f t="shared" si="4"/>
        <v>7.2250000011990778E-3</v>
      </c>
      <c r="K42" s="59">
        <f>+G42</f>
        <v>7.2250000011990778E-3</v>
      </c>
      <c r="O42" s="59">
        <f t="shared" ca="1" si="5"/>
        <v>2.0803308878517997E-2</v>
      </c>
      <c r="P42" s="59">
        <f t="shared" si="6"/>
        <v>8.1868354755298342E-3</v>
      </c>
      <c r="Q42" s="87">
        <f t="shared" si="7"/>
        <v>39192.073299999996</v>
      </c>
      <c r="R42" s="59">
        <f t="shared" si="8"/>
        <v>9.2512747968107112E-7</v>
      </c>
    </row>
    <row r="43" spans="1:18" s="59" customFormat="1" ht="12.95" customHeight="1" x14ac:dyDescent="0.2">
      <c r="A43" s="7" t="s">
        <v>47</v>
      </c>
      <c r="B43" s="44" t="s">
        <v>30</v>
      </c>
      <c r="C43" s="7">
        <v>54212.511599999998</v>
      </c>
      <c r="D43" s="7">
        <v>2.0000000000000001E-4</v>
      </c>
      <c r="E43" s="59">
        <f t="shared" si="2"/>
        <v>5068.0275121623918</v>
      </c>
      <c r="F43" s="59">
        <f t="shared" si="3"/>
        <v>5068</v>
      </c>
      <c r="G43" s="59">
        <f t="shared" si="4"/>
        <v>8.2000000038533472E-3</v>
      </c>
      <c r="J43" s="59">
        <f>+G43</f>
        <v>8.2000000038533472E-3</v>
      </c>
      <c r="O43" s="59">
        <f t="shared" ca="1" si="5"/>
        <v>2.0809106145456266E-2</v>
      </c>
      <c r="P43" s="59">
        <f t="shared" si="6"/>
        <v>8.1950774009252811E-3</v>
      </c>
      <c r="Q43" s="87">
        <f t="shared" si="7"/>
        <v>39194.011599999998</v>
      </c>
      <c r="R43" s="59">
        <f t="shared" si="8"/>
        <v>2.4232019587404614E-11</v>
      </c>
    </row>
    <row r="44" spans="1:18" s="59" customFormat="1" ht="12.95" customHeight="1" x14ac:dyDescent="0.2">
      <c r="A44" s="7" t="s">
        <v>44</v>
      </c>
      <c r="B44" s="96"/>
      <c r="C44" s="7">
        <v>54217.428099999997</v>
      </c>
      <c r="D44" s="7">
        <v>1.1999999999999999E-3</v>
      </c>
      <c r="E44" s="59">
        <f t="shared" si="2"/>
        <v>5084.523066599565</v>
      </c>
      <c r="F44" s="59">
        <f t="shared" si="3"/>
        <v>5084.5</v>
      </c>
      <c r="G44" s="59">
        <f t="shared" si="4"/>
        <v>6.8749999991268851E-3</v>
      </c>
      <c r="J44" s="59">
        <f>+G44</f>
        <v>6.8749999991268851E-3</v>
      </c>
      <c r="O44" s="59">
        <f t="shared" ca="1" si="5"/>
        <v>2.0823822284607253E-2</v>
      </c>
      <c r="P44" s="59">
        <f t="shared" si="6"/>
        <v>8.2160302433035223E-3</v>
      </c>
      <c r="Q44" s="87">
        <f t="shared" si="7"/>
        <v>39198.928099999997</v>
      </c>
      <c r="R44" s="59">
        <f t="shared" si="8"/>
        <v>1.7983621157964512E-6</v>
      </c>
    </row>
    <row r="45" spans="1:18" s="59" customFormat="1" ht="12.95" customHeight="1" x14ac:dyDescent="0.2">
      <c r="A45" s="7" t="s">
        <v>47</v>
      </c>
      <c r="B45" s="44" t="s">
        <v>30</v>
      </c>
      <c r="C45" s="7">
        <v>54597.444499999998</v>
      </c>
      <c r="D45" s="7">
        <v>4.0000000000000002E-4</v>
      </c>
      <c r="E45" s="59">
        <f t="shared" si="2"/>
        <v>6359.5319577252167</v>
      </c>
      <c r="F45" s="59">
        <f t="shared" si="3"/>
        <v>6359.5</v>
      </c>
      <c r="G45" s="59">
        <f t="shared" si="4"/>
        <v>9.5250000013038516E-3</v>
      </c>
      <c r="J45" s="59">
        <f>+G45</f>
        <v>9.5250000013038516E-3</v>
      </c>
      <c r="O45" s="59">
        <f t="shared" ca="1" si="5"/>
        <v>2.1960978491729063E-2</v>
      </c>
      <c r="P45" s="59">
        <f t="shared" si="6"/>
        <v>9.9697613016712164E-3</v>
      </c>
      <c r="Q45" s="87">
        <f t="shared" si="7"/>
        <v>39578.944499999998</v>
      </c>
      <c r="R45" s="59">
        <f t="shared" si="8"/>
        <v>1.9781261430446928E-7</v>
      </c>
    </row>
    <row r="46" spans="1:18" s="59" customFormat="1" ht="12.95" customHeight="1" x14ac:dyDescent="0.2">
      <c r="A46" s="7" t="s">
        <v>47</v>
      </c>
      <c r="B46" s="44" t="s">
        <v>30</v>
      </c>
      <c r="C46" s="7">
        <v>54597.595099999999</v>
      </c>
      <c r="D46" s="7">
        <v>1.5E-3</v>
      </c>
      <c r="E46" s="59">
        <f t="shared" si="2"/>
        <v>6360.037242073483</v>
      </c>
      <c r="F46" s="59">
        <f t="shared" si="3"/>
        <v>6360</v>
      </c>
      <c r="G46" s="59">
        <f t="shared" si="4"/>
        <v>1.1100000003352761E-2</v>
      </c>
      <c r="J46" s="59">
        <f>+G46</f>
        <v>1.1100000003352761E-2</v>
      </c>
      <c r="O46" s="59">
        <f t="shared" ca="1" si="5"/>
        <v>2.1961424435339699E-2</v>
      </c>
      <c r="P46" s="59">
        <f t="shared" si="6"/>
        <v>9.9705011882326635E-3</v>
      </c>
      <c r="Q46" s="87">
        <f t="shared" si="7"/>
        <v>39579.095099999999</v>
      </c>
      <c r="R46" s="59">
        <f t="shared" si="8"/>
        <v>1.2757675733577049E-6</v>
      </c>
    </row>
    <row r="47" spans="1:18" s="59" customFormat="1" ht="12.95" customHeight="1" x14ac:dyDescent="0.2">
      <c r="A47" s="7" t="s">
        <v>46</v>
      </c>
      <c r="B47" s="44" t="s">
        <v>30</v>
      </c>
      <c r="C47" s="7">
        <v>54697.443899999998</v>
      </c>
      <c r="D47" s="7">
        <v>1.1000000000000001E-3</v>
      </c>
      <c r="E47" s="59">
        <f t="shared" si="2"/>
        <v>6695.0441201140793</v>
      </c>
      <c r="F47" s="59">
        <f t="shared" si="3"/>
        <v>6695</v>
      </c>
      <c r="G47" s="59">
        <f t="shared" si="4"/>
        <v>1.314999999885913E-2</v>
      </c>
      <c r="K47" s="59">
        <f>+G47</f>
        <v>1.314999999885913E-2</v>
      </c>
      <c r="O47" s="59">
        <f t="shared" ca="1" si="5"/>
        <v>2.2260206654465819E-2</v>
      </c>
      <c r="P47" s="59">
        <f t="shared" si="6"/>
        <v>1.0475415532166951E-2</v>
      </c>
      <c r="Q47" s="87">
        <f t="shared" si="7"/>
        <v>39678.943899999998</v>
      </c>
      <c r="R47" s="59">
        <f t="shared" si="8"/>
        <v>7.1534020694710856E-6</v>
      </c>
    </row>
    <row r="48" spans="1:18" s="59" customFormat="1" ht="12.95" customHeight="1" x14ac:dyDescent="0.2">
      <c r="A48" s="8" t="s">
        <v>48</v>
      </c>
      <c r="B48" s="66"/>
      <c r="C48" s="7">
        <v>54882.979426373291</v>
      </c>
      <c r="D48" s="7">
        <v>2.9999999999999997E-4</v>
      </c>
      <c r="E48" s="59">
        <f t="shared" si="2"/>
        <v>7317.5421116366178</v>
      </c>
      <c r="F48" s="59">
        <f t="shared" si="3"/>
        <v>7317.5</v>
      </c>
      <c r="G48" s="59">
        <f t="shared" si="4"/>
        <v>1.2551373292808421E-2</v>
      </c>
      <c r="K48" s="59">
        <f>+G48</f>
        <v>1.2551373292808421E-2</v>
      </c>
      <c r="O48" s="59">
        <f t="shared" ca="1" si="5"/>
        <v>2.2815406449707643E-2</v>
      </c>
      <c r="P48" s="59">
        <f t="shared" si="6"/>
        <v>1.1462390454282431E-2</v>
      </c>
      <c r="Q48" s="87">
        <f t="shared" si="7"/>
        <v>39864.479426373291</v>
      </c>
      <c r="R48" s="59">
        <f t="shared" si="8"/>
        <v>1.1858836226041234E-6</v>
      </c>
    </row>
    <row r="49" spans="1:18" s="59" customFormat="1" ht="12.95" customHeight="1" x14ac:dyDescent="0.2">
      <c r="A49" s="7" t="s">
        <v>131</v>
      </c>
      <c r="B49" s="44" t="s">
        <v>30</v>
      </c>
      <c r="C49" s="7">
        <v>54931.412700000001</v>
      </c>
      <c r="D49" s="7">
        <v>5.9999999999999995E-4</v>
      </c>
      <c r="E49" s="59">
        <f t="shared" si="2"/>
        <v>7480.0426103002974</v>
      </c>
      <c r="F49" s="59">
        <f t="shared" si="3"/>
        <v>7480</v>
      </c>
      <c r="G49" s="59">
        <f t="shared" si="4"/>
        <v>1.2700000006589107E-2</v>
      </c>
      <c r="J49" s="59">
        <f>+G49</f>
        <v>1.2700000006589107E-2</v>
      </c>
      <c r="O49" s="59">
        <f t="shared" ca="1" si="5"/>
        <v>2.2960338123164344E-2</v>
      </c>
      <c r="P49" s="59">
        <f t="shared" si="6"/>
        <v>1.1730465310682288E-2</v>
      </c>
      <c r="Q49" s="87">
        <f t="shared" si="7"/>
        <v>39912.912700000001</v>
      </c>
      <c r="R49" s="59">
        <f t="shared" si="8"/>
        <v>9.3999752656712861E-7</v>
      </c>
    </row>
    <row r="50" spans="1:18" s="59" customFormat="1" ht="12.95" customHeight="1" x14ac:dyDescent="0.2">
      <c r="A50" s="7" t="s">
        <v>131</v>
      </c>
      <c r="B50" s="44" t="s">
        <v>30</v>
      </c>
      <c r="C50" s="7">
        <v>54931.559600000001</v>
      </c>
      <c r="D50" s="7">
        <v>1E-3</v>
      </c>
      <c r="E50" s="59">
        <f t="shared" si="2"/>
        <v>7480.5354806240684</v>
      </c>
      <c r="F50" s="59">
        <f t="shared" si="3"/>
        <v>7480.5</v>
      </c>
      <c r="G50" s="59">
        <f t="shared" si="4"/>
        <v>1.0575000000244472E-2</v>
      </c>
      <c r="J50" s="59">
        <f>+G50</f>
        <v>1.0575000000244472E-2</v>
      </c>
      <c r="O50" s="59">
        <f t="shared" ca="1" si="5"/>
        <v>2.2960784066774979E-2</v>
      </c>
      <c r="P50" s="59">
        <f t="shared" si="6"/>
        <v>1.1731296820658741E-2</v>
      </c>
      <c r="Q50" s="87">
        <f t="shared" si="7"/>
        <v>39913.059600000001</v>
      </c>
      <c r="R50" s="59">
        <f t="shared" si="8"/>
        <v>1.337022336900148E-6</v>
      </c>
    </row>
    <row r="51" spans="1:18" s="59" customFormat="1" ht="12.95" customHeight="1" x14ac:dyDescent="0.2">
      <c r="A51" s="7" t="s">
        <v>129</v>
      </c>
      <c r="B51" s="44" t="s">
        <v>30</v>
      </c>
      <c r="C51" s="7">
        <v>55049.438399999999</v>
      </c>
      <c r="D51" s="7">
        <v>1.2999999999999999E-3</v>
      </c>
      <c r="E51" s="59">
        <f t="shared" si="2"/>
        <v>7876.0355645026075</v>
      </c>
      <c r="F51" s="59">
        <f t="shared" si="3"/>
        <v>7876</v>
      </c>
      <c r="G51" s="59">
        <f t="shared" si="4"/>
        <v>1.0600000001431908E-2</v>
      </c>
      <c r="K51" s="59">
        <f>+G51</f>
        <v>1.0600000001431908E-2</v>
      </c>
      <c r="O51" s="59">
        <f t="shared" ca="1" si="5"/>
        <v>2.3313525462788059E-2</v>
      </c>
      <c r="P51" s="59">
        <f t="shared" si="6"/>
        <v>1.240182788406758E-2</v>
      </c>
      <c r="Q51" s="87">
        <f t="shared" si="7"/>
        <v>40030.938399999999</v>
      </c>
      <c r="R51" s="59">
        <f t="shared" si="8"/>
        <v>3.2465837186433482E-6</v>
      </c>
    </row>
    <row r="52" spans="1:18" s="59" customFormat="1" ht="12.95" customHeight="1" x14ac:dyDescent="0.2">
      <c r="A52" s="7" t="s">
        <v>130</v>
      </c>
      <c r="B52" s="44" t="s">
        <v>28</v>
      </c>
      <c r="C52" s="7">
        <v>55283.859700000001</v>
      </c>
      <c r="D52" s="7">
        <v>2.9999999999999997E-4</v>
      </c>
      <c r="E52" s="59">
        <f t="shared" si="2"/>
        <v>8662.5522563328432</v>
      </c>
      <c r="F52" s="59">
        <f t="shared" si="3"/>
        <v>8662.5</v>
      </c>
      <c r="G52" s="59">
        <f t="shared" si="4"/>
        <v>1.5575000004901085E-2</v>
      </c>
      <c r="K52" s="59">
        <f>+G52</f>
        <v>1.5575000004901085E-2</v>
      </c>
      <c r="O52" s="59">
        <f t="shared" ca="1" si="5"/>
        <v>2.4014994762318491E-2</v>
      </c>
      <c r="P52" s="59">
        <f t="shared" si="6"/>
        <v>1.3811277722725831E-2</v>
      </c>
      <c r="Q52" s="87">
        <f t="shared" si="7"/>
        <v>40265.359700000001</v>
      </c>
      <c r="R52" s="59">
        <f t="shared" si="8"/>
        <v>3.1107162886414872E-6</v>
      </c>
    </row>
    <row r="53" spans="1:18" s="59" customFormat="1" ht="12.95" customHeight="1" x14ac:dyDescent="0.2">
      <c r="A53" s="7" t="s">
        <v>132</v>
      </c>
      <c r="B53" s="44" t="s">
        <v>30</v>
      </c>
      <c r="C53" s="7">
        <v>55314.407700000003</v>
      </c>
      <c r="D53" s="7">
        <v>2.0999999999999999E-3</v>
      </c>
      <c r="E53" s="59">
        <f t="shared" ref="E53:E83" si="10">+(C53-C$7)/C$8</f>
        <v>8765.0451266566233</v>
      </c>
      <c r="F53" s="59">
        <f t="shared" ref="F53:F84" si="11">ROUND(2*E53,0)/2</f>
        <v>8765</v>
      </c>
      <c r="G53" s="59">
        <f t="shared" ref="G53:G84" si="12">+C53-(C$7+F53*C$8)</f>
        <v>1.3450000005832408E-2</v>
      </c>
      <c r="J53" s="59">
        <f>+G53</f>
        <v>1.3450000005832408E-2</v>
      </c>
      <c r="O53" s="59">
        <f t="shared" ref="O53:O83" ca="1" si="13">+C$11+C$12*$F53</f>
        <v>2.4106413202498872E-2</v>
      </c>
      <c r="P53" s="59">
        <f t="shared" ref="P53:P83" si="14">+D$11+D$12*F53+D$13*F53^2</f>
        <v>1.4002414272714227E-2</v>
      </c>
      <c r="Q53" s="87">
        <f t="shared" ref="Q53:Q83" si="15">+C53-15018.5</f>
        <v>40295.907700000003</v>
      </c>
      <c r="R53" s="59">
        <f t="shared" ref="R53:R83" si="16">+(P53-G53)^2</f>
        <v>3.0516152225457843E-7</v>
      </c>
    </row>
    <row r="54" spans="1:18" s="59" customFormat="1" ht="12.95" customHeight="1" x14ac:dyDescent="0.2">
      <c r="A54" s="7" t="s">
        <v>132</v>
      </c>
      <c r="B54" s="44" t="s">
        <v>30</v>
      </c>
      <c r="C54" s="7">
        <v>55314.559300000001</v>
      </c>
      <c r="D54" s="7">
        <v>2E-3</v>
      </c>
      <c r="E54" s="59">
        <f t="shared" si="10"/>
        <v>8765.5537661466333</v>
      </c>
      <c r="F54" s="59">
        <f t="shared" si="11"/>
        <v>8765.5</v>
      </c>
      <c r="G54" s="59">
        <f t="shared" si="12"/>
        <v>1.6025000004447065E-2</v>
      </c>
      <c r="J54" s="59">
        <f>+G54</f>
        <v>1.6025000004447065E-2</v>
      </c>
      <c r="O54" s="59">
        <f t="shared" ca="1" si="13"/>
        <v>2.4106859146109508E-2</v>
      </c>
      <c r="P54" s="59">
        <f t="shared" si="14"/>
        <v>1.4003350857289779E-2</v>
      </c>
      <c r="Q54" s="87">
        <f t="shared" si="15"/>
        <v>40296.059300000001</v>
      </c>
      <c r="R54" s="59">
        <f t="shared" si="16"/>
        <v>4.0870652742017847E-6</v>
      </c>
    </row>
    <row r="55" spans="1:18" s="59" customFormat="1" ht="12.95" customHeight="1" x14ac:dyDescent="0.2">
      <c r="A55" s="7" t="s">
        <v>134</v>
      </c>
      <c r="B55" s="44" t="s">
        <v>30</v>
      </c>
      <c r="C55" s="7">
        <v>55671.474300000002</v>
      </c>
      <c r="D55" s="7">
        <v>2.0000000000000001E-4</v>
      </c>
      <c r="E55" s="59">
        <f t="shared" si="10"/>
        <v>9963.0541855393549</v>
      </c>
      <c r="F55" s="59">
        <f t="shared" si="11"/>
        <v>9963</v>
      </c>
      <c r="G55" s="59">
        <f t="shared" si="12"/>
        <v>1.6150000003108289E-2</v>
      </c>
      <c r="J55" s="59">
        <f>+G55</f>
        <v>1.6150000003108289E-2</v>
      </c>
      <c r="O55" s="59">
        <f t="shared" ca="1" si="13"/>
        <v>2.5174894093582735E-2</v>
      </c>
      <c r="P55" s="59">
        <f t="shared" si="14"/>
        <v>1.6363778733044912E-2</v>
      </c>
      <c r="Q55" s="87">
        <f t="shared" si="15"/>
        <v>40652.974300000002</v>
      </c>
      <c r="R55" s="59">
        <f t="shared" si="16"/>
        <v>4.5701345373315518E-8</v>
      </c>
    </row>
    <row r="56" spans="1:18" s="59" customFormat="1" ht="12.95" customHeight="1" x14ac:dyDescent="0.2">
      <c r="A56" s="7" t="s">
        <v>134</v>
      </c>
      <c r="B56" s="44" t="s">
        <v>30</v>
      </c>
      <c r="C56" s="7">
        <v>55707.390899999999</v>
      </c>
      <c r="D56" s="7">
        <v>1E-3</v>
      </c>
      <c r="E56" s="59">
        <f t="shared" si="10"/>
        <v>10083.559469887608</v>
      </c>
      <c r="F56" s="59">
        <f t="shared" si="11"/>
        <v>10083.5</v>
      </c>
      <c r="G56" s="59">
        <f t="shared" si="12"/>
        <v>1.7724999997881241E-2</v>
      </c>
      <c r="J56" s="59">
        <f>+G56</f>
        <v>1.7724999997881241E-2</v>
      </c>
      <c r="O56" s="59">
        <f t="shared" ca="1" si="13"/>
        <v>2.5282366503746014E-2</v>
      </c>
      <c r="P56" s="59">
        <f t="shared" si="14"/>
        <v>1.6614286515990603E-2</v>
      </c>
      <c r="Q56" s="87">
        <f t="shared" si="15"/>
        <v>40688.890899999999</v>
      </c>
      <c r="R56" s="59">
        <f t="shared" si="16"/>
        <v>1.2336844388536242E-6</v>
      </c>
    </row>
    <row r="57" spans="1:18" s="59" customFormat="1" ht="12.95" customHeight="1" x14ac:dyDescent="0.2">
      <c r="A57" s="7" t="s">
        <v>134</v>
      </c>
      <c r="B57" s="44" t="s">
        <v>30</v>
      </c>
      <c r="C57" s="7">
        <v>55707.539700000001</v>
      </c>
      <c r="D57" s="7">
        <v>1.1999999999999999E-3</v>
      </c>
      <c r="E57" s="59">
        <f t="shared" si="10"/>
        <v>10084.058714980722</v>
      </c>
      <c r="F57" s="59">
        <f t="shared" si="11"/>
        <v>10084</v>
      </c>
      <c r="G57" s="59">
        <f t="shared" si="12"/>
        <v>1.750000000174623E-2</v>
      </c>
      <c r="J57" s="59">
        <f>+G57</f>
        <v>1.750000000174623E-2</v>
      </c>
      <c r="O57" s="59">
        <f t="shared" ca="1" si="13"/>
        <v>2.528281244735665E-2</v>
      </c>
      <c r="P57" s="59">
        <f t="shared" si="14"/>
        <v>1.6615330914464137E-2</v>
      </c>
      <c r="Q57" s="87">
        <f t="shared" si="15"/>
        <v>40689.039700000001</v>
      </c>
      <c r="R57" s="59">
        <f t="shared" si="16"/>
        <v>7.8263939399253044E-7</v>
      </c>
    </row>
    <row r="58" spans="1:18" s="59" customFormat="1" ht="12.95" customHeight="1" x14ac:dyDescent="0.2">
      <c r="A58" s="7" t="s">
        <v>133</v>
      </c>
      <c r="B58" s="44" t="s">
        <v>28</v>
      </c>
      <c r="C58" s="7">
        <v>55712.756999999998</v>
      </c>
      <c r="D58" s="7">
        <v>2.9999999999999997E-4</v>
      </c>
      <c r="E58" s="59">
        <f t="shared" si="10"/>
        <v>10101.563496057712</v>
      </c>
      <c r="F58" s="59">
        <f t="shared" si="11"/>
        <v>10101.5</v>
      </c>
      <c r="G58" s="59">
        <f t="shared" si="12"/>
        <v>1.8925000003946479E-2</v>
      </c>
      <c r="K58" s="59">
        <f t="shared" ref="K58:K66" si="17">+G58</f>
        <v>1.8925000003946479E-2</v>
      </c>
      <c r="O58" s="59">
        <f t="shared" ca="1" si="13"/>
        <v>2.5298420473728909E-2</v>
      </c>
      <c r="P58" s="59">
        <f t="shared" si="14"/>
        <v>1.6651910618624484E-2</v>
      </c>
      <c r="Q58" s="87">
        <f t="shared" si="15"/>
        <v>40694.256999999998</v>
      </c>
      <c r="R58" s="59">
        <f t="shared" si="16"/>
        <v>5.1669353536635278E-6</v>
      </c>
    </row>
    <row r="59" spans="1:18" s="59" customFormat="1" ht="12.95" customHeight="1" x14ac:dyDescent="0.2">
      <c r="A59" s="52" t="s">
        <v>133</v>
      </c>
      <c r="B59" s="44" t="s">
        <v>30</v>
      </c>
      <c r="C59" s="52">
        <v>55712.9038</v>
      </c>
      <c r="D59" s="52">
        <v>1.2999999999999999E-3</v>
      </c>
      <c r="E59" s="66">
        <f t="shared" si="10"/>
        <v>10102.056030867314</v>
      </c>
      <c r="F59" s="59">
        <f t="shared" si="11"/>
        <v>10102</v>
      </c>
      <c r="G59" s="59">
        <f t="shared" si="12"/>
        <v>1.6700000000128057E-2</v>
      </c>
      <c r="K59" s="59">
        <f t="shared" si="17"/>
        <v>1.6700000000128057E-2</v>
      </c>
      <c r="O59" s="59">
        <f t="shared" ca="1" si="13"/>
        <v>2.5298866417339548E-2</v>
      </c>
      <c r="P59" s="59">
        <f t="shared" si="14"/>
        <v>1.6652956488960112E-2</v>
      </c>
      <c r="Q59" s="87">
        <f t="shared" si="15"/>
        <v>40694.4038</v>
      </c>
      <c r="R59" s="59">
        <f t="shared" si="16"/>
        <v>2.2130919430085529E-9</v>
      </c>
    </row>
    <row r="60" spans="1:18" s="59" customFormat="1" ht="12.95" customHeight="1" x14ac:dyDescent="0.2">
      <c r="A60" s="52" t="s">
        <v>136</v>
      </c>
      <c r="B60" s="44" t="s">
        <v>28</v>
      </c>
      <c r="C60" s="52">
        <v>55755.377</v>
      </c>
      <c r="D60" s="52">
        <v>5.9999999999999995E-4</v>
      </c>
      <c r="E60" s="66">
        <f t="shared" si="10"/>
        <v>10244.559637644703</v>
      </c>
      <c r="F60" s="59">
        <f t="shared" si="11"/>
        <v>10244.5</v>
      </c>
      <c r="G60" s="59">
        <f t="shared" si="12"/>
        <v>1.7775000000256114E-2</v>
      </c>
      <c r="K60" s="59">
        <f t="shared" si="17"/>
        <v>1.7775000000256114E-2</v>
      </c>
      <c r="O60" s="59">
        <f t="shared" ca="1" si="13"/>
        <v>2.5425960346370804E-2</v>
      </c>
      <c r="P60" s="59">
        <f t="shared" si="14"/>
        <v>1.6952695805152799E-2</v>
      </c>
      <c r="Q60" s="87">
        <f t="shared" si="15"/>
        <v>40736.877</v>
      </c>
      <c r="R60" s="59">
        <f t="shared" si="16"/>
        <v>6.7618418928451044E-7</v>
      </c>
    </row>
    <row r="61" spans="1:18" s="59" customFormat="1" ht="12.95" customHeight="1" x14ac:dyDescent="0.2">
      <c r="A61" s="52" t="s">
        <v>136</v>
      </c>
      <c r="B61" s="44" t="s">
        <v>30</v>
      </c>
      <c r="C61" s="52">
        <v>55755.525300000001</v>
      </c>
      <c r="D61" s="52">
        <v>2.0000000000000001E-4</v>
      </c>
      <c r="E61" s="66">
        <f t="shared" si="10"/>
        <v>10245.057205166933</v>
      </c>
      <c r="F61" s="59">
        <f t="shared" si="11"/>
        <v>10245</v>
      </c>
      <c r="G61" s="59">
        <f t="shared" si="12"/>
        <v>1.705000000220025E-2</v>
      </c>
      <c r="K61" s="59">
        <f t="shared" si="17"/>
        <v>1.705000000220025E-2</v>
      </c>
      <c r="O61" s="59">
        <f t="shared" ca="1" si="13"/>
        <v>2.542640628998144E-2</v>
      </c>
      <c r="P61" s="59">
        <f t="shared" si="14"/>
        <v>1.6953753368615015E-2</v>
      </c>
      <c r="Q61" s="87">
        <f t="shared" si="15"/>
        <v>40737.025300000001</v>
      </c>
      <c r="R61" s="59">
        <f t="shared" si="16"/>
        <v>9.2634144764903141E-9</v>
      </c>
    </row>
    <row r="62" spans="1:18" s="59" customFormat="1" ht="12.95" customHeight="1" x14ac:dyDescent="0.2">
      <c r="A62" s="52" t="s">
        <v>136</v>
      </c>
      <c r="B62" s="44" t="s">
        <v>28</v>
      </c>
      <c r="C62" s="52">
        <v>55758.357100000001</v>
      </c>
      <c r="D62" s="52">
        <v>2.0000000000000001E-4</v>
      </c>
      <c r="E62" s="66">
        <f t="shared" si="10"/>
        <v>10254.558295588002</v>
      </c>
      <c r="F62" s="59">
        <f t="shared" si="11"/>
        <v>10254.5</v>
      </c>
      <c r="G62" s="59">
        <f t="shared" si="12"/>
        <v>1.7375000003085006E-2</v>
      </c>
      <c r="K62" s="59">
        <f t="shared" si="17"/>
        <v>1.7375000003085006E-2</v>
      </c>
      <c r="O62" s="59">
        <f t="shared" ca="1" si="13"/>
        <v>2.5434879218583527E-2</v>
      </c>
      <c r="P62" s="59">
        <f t="shared" si="14"/>
        <v>1.6973854842558176E-2</v>
      </c>
      <c r="Q62" s="87">
        <f t="shared" si="15"/>
        <v>40739.857100000001</v>
      </c>
      <c r="R62" s="59">
        <f t="shared" si="16"/>
        <v>1.6091743981409622E-7</v>
      </c>
    </row>
    <row r="63" spans="1:18" s="59" customFormat="1" ht="12.95" customHeight="1" x14ac:dyDescent="0.2">
      <c r="A63" s="52" t="s">
        <v>136</v>
      </c>
      <c r="B63" s="44" t="s">
        <v>30</v>
      </c>
      <c r="C63" s="52">
        <v>55758.505400000002</v>
      </c>
      <c r="D63" s="52">
        <v>2.0000000000000001E-4</v>
      </c>
      <c r="E63" s="66">
        <f t="shared" si="10"/>
        <v>10255.055863110232</v>
      </c>
      <c r="F63" s="59">
        <f t="shared" si="11"/>
        <v>10255</v>
      </c>
      <c r="G63" s="59">
        <f t="shared" si="12"/>
        <v>1.6650000005029142E-2</v>
      </c>
      <c r="K63" s="59">
        <f t="shared" si="17"/>
        <v>1.6650000005029142E-2</v>
      </c>
      <c r="O63" s="59">
        <f t="shared" ca="1" si="13"/>
        <v>2.5435325162194163E-2</v>
      </c>
      <c r="P63" s="59">
        <f t="shared" si="14"/>
        <v>1.6974913223721556E-2</v>
      </c>
      <c r="Q63" s="87">
        <f t="shared" si="15"/>
        <v>40740.005400000002</v>
      </c>
      <c r="R63" s="59">
        <f t="shared" si="16"/>
        <v>1.0556859968106474E-7</v>
      </c>
    </row>
    <row r="64" spans="1:18" s="59" customFormat="1" ht="12.95" customHeight="1" x14ac:dyDescent="0.2">
      <c r="A64" s="52" t="s">
        <v>136</v>
      </c>
      <c r="B64" s="44" t="s">
        <v>30</v>
      </c>
      <c r="C64" s="52">
        <v>55770.427199999998</v>
      </c>
      <c r="D64" s="52">
        <v>4.0000000000000002E-4</v>
      </c>
      <c r="E64" s="66">
        <f t="shared" si="10"/>
        <v>10295.055192081871</v>
      </c>
      <c r="F64" s="59">
        <f t="shared" si="11"/>
        <v>10295</v>
      </c>
      <c r="G64" s="59">
        <f t="shared" si="12"/>
        <v>1.6450000002805609E-2</v>
      </c>
      <c r="K64" s="59">
        <f t="shared" si="17"/>
        <v>1.6450000002805609E-2</v>
      </c>
      <c r="O64" s="59">
        <f t="shared" ca="1" si="13"/>
        <v>2.5471000651045045E-2</v>
      </c>
      <c r="P64" s="59">
        <f t="shared" si="14"/>
        <v>1.7059716184379764E-2</v>
      </c>
      <c r="Q64" s="87">
        <f t="shared" si="15"/>
        <v>40751.927199999998</v>
      </c>
      <c r="R64" s="59">
        <f t="shared" si="16"/>
        <v>3.7175382207336764E-7</v>
      </c>
    </row>
    <row r="65" spans="1:18" s="59" customFormat="1" ht="12.95" customHeight="1" x14ac:dyDescent="0.2">
      <c r="A65" s="52" t="s">
        <v>136</v>
      </c>
      <c r="B65" s="44" t="s">
        <v>30</v>
      </c>
      <c r="C65" s="52">
        <v>55771.322099999998</v>
      </c>
      <c r="D65" s="52">
        <v>4.0000000000000002E-4</v>
      </c>
      <c r="E65" s="66">
        <f t="shared" si="10"/>
        <v>10298.057708438184</v>
      </c>
      <c r="F65" s="59">
        <f t="shared" si="11"/>
        <v>10298</v>
      </c>
      <c r="G65" s="59">
        <f t="shared" si="12"/>
        <v>1.720000000204891E-2</v>
      </c>
      <c r="K65" s="59">
        <f t="shared" si="17"/>
        <v>1.720000000204891E-2</v>
      </c>
      <c r="O65" s="59">
        <f t="shared" ca="1" si="13"/>
        <v>2.5473676312708859E-2</v>
      </c>
      <c r="P65" s="59">
        <f t="shared" si="14"/>
        <v>1.7066086954774101E-2</v>
      </c>
      <c r="Q65" s="87">
        <f t="shared" si="15"/>
        <v>40752.822099999998</v>
      </c>
      <c r="R65" s="59">
        <f t="shared" si="16"/>
        <v>1.7932704230425087E-8</v>
      </c>
    </row>
    <row r="66" spans="1:18" s="59" customFormat="1" ht="12.95" customHeight="1" x14ac:dyDescent="0.2">
      <c r="A66" s="52" t="s">
        <v>135</v>
      </c>
      <c r="B66" s="44" t="s">
        <v>30</v>
      </c>
      <c r="C66" s="52">
        <v>56050.889000000003</v>
      </c>
      <c r="D66" s="52">
        <v>4.0000000000000001E-3</v>
      </c>
      <c r="E66" s="66">
        <f t="shared" si="10"/>
        <v>11236.044287871182</v>
      </c>
      <c r="F66" s="59">
        <f t="shared" si="11"/>
        <v>11236</v>
      </c>
      <c r="G66" s="59">
        <f t="shared" si="12"/>
        <v>1.320000000850996E-2</v>
      </c>
      <c r="K66" s="59">
        <f t="shared" si="17"/>
        <v>1.320000000850996E-2</v>
      </c>
      <c r="O66" s="59">
        <f t="shared" ca="1" si="13"/>
        <v>2.6310266526261998E-2</v>
      </c>
      <c r="P66" s="59">
        <f t="shared" si="14"/>
        <v>1.9130189545142902E-2</v>
      </c>
      <c r="Q66" s="87">
        <f t="shared" si="15"/>
        <v>41032.389000000003</v>
      </c>
      <c r="R66" s="59">
        <f t="shared" si="16"/>
        <v>3.5167147940390824E-5</v>
      </c>
    </row>
    <row r="67" spans="1:18" s="59" customFormat="1" ht="12.95" customHeight="1" x14ac:dyDescent="0.2">
      <c r="A67" s="99" t="s">
        <v>137</v>
      </c>
      <c r="B67" s="100" t="s">
        <v>28</v>
      </c>
      <c r="C67" s="101">
        <v>56058.496899999998</v>
      </c>
      <c r="D67" s="101">
        <v>1.2999999999999999E-3</v>
      </c>
      <c r="E67" s="66">
        <f t="shared" si="10"/>
        <v>11261.569870827047</v>
      </c>
      <c r="F67" s="59">
        <f t="shared" si="11"/>
        <v>11261.5</v>
      </c>
      <c r="G67" s="59">
        <f t="shared" si="12"/>
        <v>2.0824999999604188E-2</v>
      </c>
      <c r="J67" s="59">
        <f>+G67</f>
        <v>2.0824999999604188E-2</v>
      </c>
      <c r="O67" s="59">
        <f t="shared" ca="1" si="13"/>
        <v>2.6333009650404436E-2</v>
      </c>
      <c r="P67" s="59">
        <f t="shared" si="14"/>
        <v>1.9188312238737147E-2</v>
      </c>
      <c r="Q67" s="87">
        <f t="shared" si="15"/>
        <v>41039.996899999998</v>
      </c>
      <c r="R67" s="59">
        <f t="shared" si="16"/>
        <v>2.6787468265719676E-6</v>
      </c>
    </row>
    <row r="68" spans="1:18" s="59" customFormat="1" ht="12.95" customHeight="1" x14ac:dyDescent="0.2">
      <c r="A68" s="53" t="s">
        <v>285</v>
      </c>
      <c r="B68" s="54" t="s">
        <v>30</v>
      </c>
      <c r="C68" s="53">
        <v>57161.730499999998</v>
      </c>
      <c r="D68" s="53">
        <v>1E-4</v>
      </c>
      <c r="E68" s="66">
        <f t="shared" si="10"/>
        <v>14963.074987418222</v>
      </c>
      <c r="F68" s="59">
        <f t="shared" si="11"/>
        <v>14963</v>
      </c>
      <c r="G68" s="59">
        <f t="shared" si="12"/>
        <v>2.2349999999278225E-2</v>
      </c>
      <c r="K68" s="59">
        <f t="shared" ref="K68:K83" si="18">+G68</f>
        <v>2.2349999999278225E-2</v>
      </c>
      <c r="O68" s="59">
        <f t="shared" ca="1" si="13"/>
        <v>2.9634330199942768E-2</v>
      </c>
      <c r="P68" s="59">
        <f t="shared" si="14"/>
        <v>2.8753278954033453E-2</v>
      </c>
      <c r="Q68" s="87">
        <f t="shared" si="15"/>
        <v>42143.230499999998</v>
      </c>
      <c r="R68" s="59">
        <f t="shared" si="16"/>
        <v>4.1001981372411208E-5</v>
      </c>
    </row>
    <row r="69" spans="1:18" s="59" customFormat="1" ht="12.95" customHeight="1" x14ac:dyDescent="0.2">
      <c r="A69" s="53" t="s">
        <v>286</v>
      </c>
      <c r="B69" s="54" t="s">
        <v>30</v>
      </c>
      <c r="C69" s="53">
        <v>57564.696000000004</v>
      </c>
      <c r="D69" s="53">
        <v>1E-4</v>
      </c>
      <c r="E69" s="66">
        <f t="shared" si="10"/>
        <v>16315.081362187575</v>
      </c>
      <c r="F69" s="59">
        <f t="shared" si="11"/>
        <v>16315</v>
      </c>
      <c r="G69" s="59">
        <f t="shared" si="12"/>
        <v>2.4250000009487849E-2</v>
      </c>
      <c r="K69" s="59">
        <f t="shared" si="18"/>
        <v>2.4250000009487849E-2</v>
      </c>
      <c r="O69" s="59">
        <f t="shared" ca="1" si="13"/>
        <v>3.084016172310252E-2</v>
      </c>
      <c r="P69" s="59">
        <f t="shared" si="14"/>
        <v>3.2805633720313712E-2</v>
      </c>
      <c r="Q69" s="87">
        <f t="shared" si="15"/>
        <v>42546.196000000004</v>
      </c>
      <c r="R69" s="59">
        <f t="shared" si="16"/>
        <v>7.3198868193819936E-5</v>
      </c>
    </row>
    <row r="70" spans="1:18" s="59" customFormat="1" ht="12.95" customHeight="1" x14ac:dyDescent="0.2">
      <c r="A70" s="102" t="s">
        <v>294</v>
      </c>
      <c r="B70" s="99"/>
      <c r="C70" s="8">
        <v>58224.885199999997</v>
      </c>
      <c r="D70" s="103">
        <v>1E-4</v>
      </c>
      <c r="E70" s="66">
        <f t="shared" si="10"/>
        <v>18530.109713135382</v>
      </c>
      <c r="F70" s="59">
        <f t="shared" si="11"/>
        <v>18530</v>
      </c>
      <c r="G70" s="59">
        <f t="shared" si="12"/>
        <v>3.2700000003387686E-2</v>
      </c>
      <c r="K70" s="59">
        <f t="shared" si="18"/>
        <v>3.2700000003387686E-2</v>
      </c>
      <c r="O70" s="59">
        <f t="shared" ca="1" si="13"/>
        <v>3.2815691918220015E-2</v>
      </c>
      <c r="P70" s="59">
        <f t="shared" si="14"/>
        <v>4.0090719602884191E-2</v>
      </c>
      <c r="Q70" s="87">
        <f t="shared" si="15"/>
        <v>43206.385199999997</v>
      </c>
      <c r="R70" s="59">
        <f t="shared" si="16"/>
        <v>5.4622736198381777E-5</v>
      </c>
    </row>
    <row r="71" spans="1:18" s="59" customFormat="1" ht="12.95" customHeight="1" x14ac:dyDescent="0.2">
      <c r="A71" s="74" t="s">
        <v>297</v>
      </c>
      <c r="C71" s="104">
        <v>58564.961300000003</v>
      </c>
      <c r="D71" s="86">
        <v>2.9999999999999997E-4</v>
      </c>
      <c r="E71" s="66">
        <f t="shared" si="10"/>
        <v>19671.113236034242</v>
      </c>
      <c r="F71" s="59">
        <f t="shared" si="11"/>
        <v>19671</v>
      </c>
      <c r="G71" s="59">
        <f t="shared" si="12"/>
        <v>3.3750000009604264E-2</v>
      </c>
      <c r="K71" s="59">
        <f t="shared" si="18"/>
        <v>3.3750000009604264E-2</v>
      </c>
      <c r="O71" s="59">
        <f t="shared" ca="1" si="13"/>
        <v>3.3833335237691373E-2</v>
      </c>
      <c r="P71" s="59">
        <f t="shared" si="14"/>
        <v>4.415655710252725E-2</v>
      </c>
      <c r="Q71" s="87">
        <f t="shared" si="15"/>
        <v>43546.461300000003</v>
      </c>
      <c r="R71" s="59">
        <f t="shared" si="16"/>
        <v>1.082964305282657E-4</v>
      </c>
    </row>
    <row r="72" spans="1:18" s="59" customFormat="1" ht="12.95" customHeight="1" x14ac:dyDescent="0.2">
      <c r="A72" s="102" t="s">
        <v>295</v>
      </c>
      <c r="C72" s="8">
        <v>58932.905500000001</v>
      </c>
      <c r="D72" s="7">
        <v>2.0000000000000001E-4</v>
      </c>
      <c r="E72" s="66">
        <f t="shared" si="10"/>
        <v>20905.618184868323</v>
      </c>
      <c r="F72" s="59">
        <f t="shared" si="11"/>
        <v>20905.5</v>
      </c>
      <c r="G72" s="59">
        <f t="shared" si="12"/>
        <v>3.5225000006903429E-2</v>
      </c>
      <c r="K72" s="59">
        <f t="shared" si="18"/>
        <v>3.5225000006903429E-2</v>
      </c>
      <c r="O72" s="59">
        <f t="shared" ca="1" si="13"/>
        <v>3.4934370012351668E-2</v>
      </c>
      <c r="P72" s="59">
        <f t="shared" si="14"/>
        <v>4.879536768861286E-2</v>
      </c>
      <c r="Q72" s="87">
        <f t="shared" si="15"/>
        <v>43914.405500000001</v>
      </c>
      <c r="R72" s="59">
        <f t="shared" si="16"/>
        <v>1.8415487901678383E-4</v>
      </c>
    </row>
    <row r="73" spans="1:18" s="59" customFormat="1" ht="12.95" customHeight="1" x14ac:dyDescent="0.2">
      <c r="A73" s="102" t="s">
        <v>296</v>
      </c>
      <c r="C73" s="55">
        <v>59326.928699999997</v>
      </c>
      <c r="D73" s="86">
        <v>2.9999999999999997E-4</v>
      </c>
      <c r="E73" s="66">
        <f t="shared" si="10"/>
        <v>22227.621875524241</v>
      </c>
      <c r="F73" s="59">
        <f t="shared" si="11"/>
        <v>22227.5</v>
      </c>
      <c r="G73" s="59">
        <f t="shared" si="12"/>
        <v>3.6325000000942964E-2</v>
      </c>
      <c r="K73" s="59">
        <f t="shared" si="18"/>
        <v>3.6325000000942964E-2</v>
      </c>
      <c r="O73" s="59">
        <f t="shared" ca="1" si="13"/>
        <v>3.6113444918873257E-2</v>
      </c>
      <c r="P73" s="59">
        <f t="shared" si="14"/>
        <v>5.4039329947397435E-2</v>
      </c>
      <c r="Q73" s="87">
        <f t="shared" si="15"/>
        <v>44308.428699999997</v>
      </c>
      <c r="R73" s="59">
        <f t="shared" si="16"/>
        <v>3.1379748545185367E-4</v>
      </c>
    </row>
    <row r="74" spans="1:18" s="59" customFormat="1" ht="12.95" customHeight="1" x14ac:dyDescent="0.2">
      <c r="A74" s="102" t="s">
        <v>296</v>
      </c>
      <c r="C74" s="55">
        <v>59328.867200000001</v>
      </c>
      <c r="D74" s="7">
        <v>2.0000000000000001E-4</v>
      </c>
      <c r="E74" s="66">
        <f t="shared" si="10"/>
        <v>22234.125817815817</v>
      </c>
      <c r="F74" s="59">
        <f t="shared" si="11"/>
        <v>22234</v>
      </c>
      <c r="G74" s="59">
        <f t="shared" si="12"/>
        <v>3.7500000005820766E-2</v>
      </c>
      <c r="K74" s="59">
        <f t="shared" si="18"/>
        <v>3.7500000005820766E-2</v>
      </c>
      <c r="O74" s="59">
        <f t="shared" ca="1" si="13"/>
        <v>3.6119242185811529E-2</v>
      </c>
      <c r="P74" s="59">
        <f t="shared" si="14"/>
        <v>5.4065819528345653E-2</v>
      </c>
      <c r="Q74" s="87">
        <f t="shared" si="15"/>
        <v>44310.367200000001</v>
      </c>
      <c r="R74" s="59">
        <f t="shared" si="16"/>
        <v>2.7442637645286669E-4</v>
      </c>
    </row>
    <row r="75" spans="1:18" s="59" customFormat="1" ht="12.95" customHeight="1" x14ac:dyDescent="0.2">
      <c r="A75" s="102" t="s">
        <v>296</v>
      </c>
      <c r="C75" s="55">
        <v>59334.828200000004</v>
      </c>
      <c r="D75" s="86">
        <v>4.0000000000000002E-4</v>
      </c>
      <c r="E75" s="66">
        <f t="shared" si="10"/>
        <v>22254.125817815824</v>
      </c>
      <c r="F75" s="59">
        <f t="shared" si="11"/>
        <v>22254</v>
      </c>
      <c r="G75" s="59">
        <f t="shared" si="12"/>
        <v>3.7500000005820766E-2</v>
      </c>
      <c r="K75" s="59">
        <f t="shared" si="18"/>
        <v>3.7500000005820766E-2</v>
      </c>
      <c r="O75" s="59">
        <f t="shared" ca="1" si="13"/>
        <v>3.6137079930236966E-2</v>
      </c>
      <c r="P75" s="59">
        <f t="shared" si="14"/>
        <v>5.4147369269424747E-2</v>
      </c>
      <c r="Q75" s="87">
        <f t="shared" si="15"/>
        <v>44316.328200000004</v>
      </c>
      <c r="R75" s="59">
        <f t="shared" si="16"/>
        <v>2.7713490339878656E-4</v>
      </c>
    </row>
    <row r="76" spans="1:18" s="59" customFormat="1" ht="12.95" customHeight="1" x14ac:dyDescent="0.2">
      <c r="A76" s="102" t="s">
        <v>296</v>
      </c>
      <c r="C76" s="106">
        <v>59334.976600000002</v>
      </c>
      <c r="D76" s="106">
        <v>1.1999999999999999E-3</v>
      </c>
      <c r="E76" s="66">
        <f t="shared" si="10"/>
        <v>22254.623720852222</v>
      </c>
      <c r="F76" s="59">
        <f t="shared" si="11"/>
        <v>22254.5</v>
      </c>
      <c r="G76" s="59">
        <f t="shared" si="12"/>
        <v>3.6875000005238689E-2</v>
      </c>
      <c r="K76" s="59">
        <f t="shared" si="18"/>
        <v>3.6875000005238689E-2</v>
      </c>
      <c r="O76" s="59">
        <f t="shared" ca="1" si="13"/>
        <v>3.6137525873847602E-2</v>
      </c>
      <c r="P76" s="59">
        <f t="shared" si="14"/>
        <v>5.4149408851095412E-2</v>
      </c>
      <c r="Q76" s="87">
        <f t="shared" si="15"/>
        <v>44316.476600000002</v>
      </c>
      <c r="R76" s="59">
        <f t="shared" si="16"/>
        <v>2.9840520097381302E-4</v>
      </c>
    </row>
    <row r="77" spans="1:18" s="59" customFormat="1" ht="12.95" customHeight="1" x14ac:dyDescent="0.2">
      <c r="A77" s="102" t="s">
        <v>296</v>
      </c>
      <c r="C77" s="55">
        <v>59338.8514</v>
      </c>
      <c r="D77" s="86">
        <v>2.9999999999999997E-4</v>
      </c>
      <c r="E77" s="66">
        <f t="shared" si="10"/>
        <v>22267.62422412348</v>
      </c>
      <c r="F77" s="59">
        <f t="shared" si="11"/>
        <v>22267.5</v>
      </c>
      <c r="G77" s="59">
        <f t="shared" si="12"/>
        <v>3.702500000508735E-2</v>
      </c>
      <c r="K77" s="59">
        <f t="shared" si="18"/>
        <v>3.702500000508735E-2</v>
      </c>
      <c r="O77" s="59">
        <f t="shared" ca="1" si="13"/>
        <v>3.6149120407724139E-2</v>
      </c>
      <c r="P77" s="59">
        <f t="shared" si="14"/>
        <v>5.4202452325188111E-2</v>
      </c>
      <c r="Q77" s="87">
        <f t="shared" si="15"/>
        <v>44320.3514</v>
      </c>
      <c r="R77" s="59">
        <f t="shared" si="16"/>
        <v>2.9506486820933504E-4</v>
      </c>
    </row>
    <row r="78" spans="1:18" s="59" customFormat="1" ht="12.95" customHeight="1" x14ac:dyDescent="0.2">
      <c r="A78" s="102" t="s">
        <v>296</v>
      </c>
      <c r="C78" s="55">
        <v>59339.8874</v>
      </c>
      <c r="D78" s="56">
        <v>2.0000000000000001E-4</v>
      </c>
      <c r="E78" s="66">
        <f t="shared" si="10"/>
        <v>22271.100150981387</v>
      </c>
      <c r="F78" s="59">
        <f t="shared" si="11"/>
        <v>22271</v>
      </c>
      <c r="G78" s="59">
        <f t="shared" si="12"/>
        <v>2.9849999998987187E-2</v>
      </c>
      <c r="K78" s="59">
        <f t="shared" si="18"/>
        <v>2.9849999998987187E-2</v>
      </c>
      <c r="O78" s="59">
        <f t="shared" ca="1" si="13"/>
        <v>3.6152242012998589E-2</v>
      </c>
      <c r="P78" s="59">
        <f t="shared" si="14"/>
        <v>5.4216737982744963E-2</v>
      </c>
      <c r="Q78" s="87">
        <f t="shared" si="15"/>
        <v>44321.3874</v>
      </c>
      <c r="R78" s="59">
        <f t="shared" si="16"/>
        <v>5.9373791996910393E-4</v>
      </c>
    </row>
    <row r="79" spans="1:18" s="59" customFormat="1" ht="12.95" customHeight="1" x14ac:dyDescent="0.2">
      <c r="A79" s="102" t="s">
        <v>296</v>
      </c>
      <c r="C79" s="55">
        <v>59340.789299999997</v>
      </c>
      <c r="D79" s="105">
        <v>2.0000000000000001E-4</v>
      </c>
      <c r="E79" s="66">
        <f t="shared" si="10"/>
        <v>22274.126153329977</v>
      </c>
      <c r="F79" s="59">
        <f t="shared" si="11"/>
        <v>22274</v>
      </c>
      <c r="G79" s="59">
        <f t="shared" si="12"/>
        <v>3.7600000003294554E-2</v>
      </c>
      <c r="K79" s="59">
        <f t="shared" si="18"/>
        <v>3.7600000003294554E-2</v>
      </c>
      <c r="O79" s="59">
        <f t="shared" ca="1" si="13"/>
        <v>3.6154917674662404E-2</v>
      </c>
      <c r="P79" s="59">
        <f t="shared" si="14"/>
        <v>5.4228984426596662E-2</v>
      </c>
      <c r="Q79" s="87">
        <f t="shared" si="15"/>
        <v>44322.289299999997</v>
      </c>
      <c r="R79" s="59">
        <f t="shared" si="16"/>
        <v>2.7652312295042413E-4</v>
      </c>
    </row>
    <row r="80" spans="1:18" s="59" customFormat="1" ht="12.95" customHeight="1" x14ac:dyDescent="0.2">
      <c r="A80" s="102" t="s">
        <v>296</v>
      </c>
      <c r="C80" s="57">
        <v>59340.789315694608</v>
      </c>
      <c r="D80" s="56">
        <v>2.0000000000000001E-4</v>
      </c>
      <c r="E80" s="66">
        <f t="shared" si="10"/>
        <v>22274.126205987624</v>
      </c>
      <c r="F80" s="59">
        <f t="shared" si="11"/>
        <v>22274</v>
      </c>
      <c r="G80" s="59">
        <f t="shared" si="12"/>
        <v>3.7615694614942186E-2</v>
      </c>
      <c r="K80" s="59">
        <f t="shared" si="18"/>
        <v>3.7615694614942186E-2</v>
      </c>
      <c r="O80" s="59">
        <f t="shared" ca="1" si="13"/>
        <v>3.6154917674662404E-2</v>
      </c>
      <c r="P80" s="59">
        <f t="shared" si="14"/>
        <v>5.4228984426596662E-2</v>
      </c>
      <c r="Q80" s="87">
        <f t="shared" si="15"/>
        <v>44322.289315694608</v>
      </c>
      <c r="R80" s="59">
        <f t="shared" si="16"/>
        <v>2.7600139836602241E-4</v>
      </c>
    </row>
    <row r="81" spans="1:18" s="59" customFormat="1" ht="12.95" customHeight="1" x14ac:dyDescent="0.2">
      <c r="A81" s="102" t="s">
        <v>296</v>
      </c>
      <c r="C81" s="55">
        <v>59340.937700000002</v>
      </c>
      <c r="D81" s="105">
        <v>4.0000000000000002E-4</v>
      </c>
      <c r="E81" s="66">
        <f t="shared" si="10"/>
        <v>22274.6240563664</v>
      </c>
      <c r="F81" s="59">
        <f t="shared" si="11"/>
        <v>22274.5</v>
      </c>
      <c r="G81" s="59">
        <f t="shared" si="12"/>
        <v>3.6975000002712477E-2</v>
      </c>
      <c r="K81" s="59">
        <f t="shared" si="18"/>
        <v>3.6975000002712477E-2</v>
      </c>
      <c r="O81" s="59">
        <f t="shared" ca="1" si="13"/>
        <v>3.615536361827304E-2</v>
      </c>
      <c r="P81" s="59">
        <f t="shared" si="14"/>
        <v>5.4231025643669654E-2</v>
      </c>
      <c r="Q81" s="87">
        <f t="shared" si="15"/>
        <v>44322.437700000002</v>
      </c>
      <c r="R81" s="59">
        <f t="shared" si="16"/>
        <v>2.9777042092137159E-4</v>
      </c>
    </row>
    <row r="82" spans="1:18" s="59" customFormat="1" ht="12.95" customHeight="1" x14ac:dyDescent="0.2">
      <c r="A82" s="102" t="s">
        <v>296</v>
      </c>
      <c r="C82" s="55">
        <v>59342.875699999997</v>
      </c>
      <c r="D82" s="86">
        <v>4.0000000000000002E-4</v>
      </c>
      <c r="E82" s="66">
        <f t="shared" si="10"/>
        <v>22281.126321087067</v>
      </c>
      <c r="F82" s="59">
        <f t="shared" si="11"/>
        <v>22281</v>
      </c>
      <c r="G82" s="59">
        <f t="shared" si="12"/>
        <v>3.7649999998393469E-2</v>
      </c>
      <c r="K82" s="59">
        <f t="shared" si="18"/>
        <v>3.7649999998393469E-2</v>
      </c>
      <c r="O82" s="59">
        <f t="shared" ca="1" si="13"/>
        <v>3.6161160885211312E-2</v>
      </c>
      <c r="P82" s="59">
        <f t="shared" si="14"/>
        <v>5.425756518615877E-2</v>
      </c>
      <c r="Q82" s="87">
        <f t="shared" si="15"/>
        <v>44324.375699999997</v>
      </c>
      <c r="R82" s="59">
        <f t="shared" si="16"/>
        <v>2.758112214658739E-4</v>
      </c>
    </row>
    <row r="83" spans="1:18" s="59" customFormat="1" ht="12.95" customHeight="1" x14ac:dyDescent="0.2">
      <c r="A83" s="58" t="s">
        <v>298</v>
      </c>
      <c r="B83" s="107" t="s">
        <v>30</v>
      </c>
      <c r="C83" s="108">
        <v>59354.941700000003</v>
      </c>
      <c r="D83" s="109">
        <v>5.0000000000000001E-4</v>
      </c>
      <c r="E83" s="66">
        <f t="shared" si="10"/>
        <v>22321.609461499771</v>
      </c>
      <c r="F83" s="59">
        <f t="shared" si="11"/>
        <v>22321.5</v>
      </c>
      <c r="G83" s="59">
        <f t="shared" si="12"/>
        <v>3.2625000007101335E-2</v>
      </c>
      <c r="K83" s="59">
        <f t="shared" si="18"/>
        <v>3.2625000007101335E-2</v>
      </c>
      <c r="O83" s="59">
        <f t="shared" ca="1" si="13"/>
        <v>3.619728231767283E-2</v>
      </c>
      <c r="P83" s="59">
        <f t="shared" si="14"/>
        <v>5.4423082600314497E-2</v>
      </c>
      <c r="Q83" s="87">
        <f t="shared" si="15"/>
        <v>44336.441700000003</v>
      </c>
      <c r="R83" s="59">
        <f t="shared" si="16"/>
        <v>4.7515640474054269E-4</v>
      </c>
    </row>
    <row r="84" spans="1:18" s="59" customFormat="1" ht="12.95" customHeight="1" x14ac:dyDescent="0.2">
      <c r="C84" s="86"/>
      <c r="D84" s="86"/>
    </row>
    <row r="85" spans="1:18" s="59" customFormat="1" ht="12.95" customHeight="1" x14ac:dyDescent="0.2">
      <c r="C85" s="86"/>
      <c r="D85" s="86"/>
    </row>
    <row r="86" spans="1:18" s="59" customFormat="1" ht="12.95" customHeight="1" x14ac:dyDescent="0.2">
      <c r="C86" s="86"/>
      <c r="D86" s="86"/>
    </row>
    <row r="87" spans="1:18" s="59" customFormat="1" ht="12.95" customHeight="1" x14ac:dyDescent="0.2">
      <c r="C87" s="86"/>
      <c r="D87" s="86"/>
    </row>
    <row r="88" spans="1:18" s="59" customFormat="1" ht="12.95" customHeight="1" x14ac:dyDescent="0.2">
      <c r="C88" s="86"/>
      <c r="D88" s="86"/>
    </row>
    <row r="89" spans="1:18" s="59" customFormat="1" ht="12.95" customHeight="1" x14ac:dyDescent="0.2">
      <c r="C89" s="86"/>
      <c r="D89" s="86"/>
    </row>
    <row r="90" spans="1:18" s="59" customFormat="1" ht="12.95" customHeight="1" x14ac:dyDescent="0.2">
      <c r="C90" s="86"/>
      <c r="D90" s="86"/>
    </row>
    <row r="91" spans="1:18" s="59" customFormat="1" ht="12.95" customHeight="1" x14ac:dyDescent="0.2">
      <c r="C91" s="86"/>
      <c r="D91" s="86"/>
    </row>
    <row r="92" spans="1:18" s="59" customFormat="1" ht="12.95" customHeight="1" x14ac:dyDescent="0.2">
      <c r="C92" s="86"/>
      <c r="D92" s="86"/>
    </row>
    <row r="93" spans="1:18" s="59" customFormat="1" ht="12.95" customHeight="1" x14ac:dyDescent="0.2">
      <c r="C93" s="86"/>
      <c r="D93" s="86"/>
    </row>
    <row r="94" spans="1:18" s="59" customFormat="1" ht="12.95" customHeight="1" x14ac:dyDescent="0.2">
      <c r="C94" s="86"/>
      <c r="D94" s="86"/>
    </row>
    <row r="95" spans="1:18" s="59" customFormat="1" ht="12.95" customHeight="1" x14ac:dyDescent="0.2">
      <c r="C95" s="86"/>
      <c r="D95" s="86"/>
    </row>
    <row r="96" spans="1:18" s="59" customFormat="1" ht="12.95" customHeight="1" x14ac:dyDescent="0.2">
      <c r="C96" s="86"/>
      <c r="D96" s="86"/>
    </row>
    <row r="97" spans="3:4" s="59" customFormat="1" ht="12.95" customHeight="1" x14ac:dyDescent="0.2">
      <c r="C97" s="86"/>
      <c r="D97" s="86"/>
    </row>
    <row r="98" spans="3:4" s="59" customFormat="1" ht="12.95" customHeight="1" x14ac:dyDescent="0.2">
      <c r="C98" s="86"/>
      <c r="D98" s="86"/>
    </row>
    <row r="99" spans="3:4" s="59" customFormat="1" ht="12.95" customHeight="1" x14ac:dyDescent="0.2">
      <c r="C99" s="86"/>
      <c r="D99" s="86"/>
    </row>
    <row r="100" spans="3:4" s="59" customFormat="1" ht="12.95" customHeight="1" x14ac:dyDescent="0.2">
      <c r="C100" s="86"/>
      <c r="D100" s="86"/>
    </row>
    <row r="101" spans="3:4" s="59" customFormat="1" ht="12.95" customHeight="1" x14ac:dyDescent="0.2">
      <c r="C101" s="86"/>
      <c r="D101" s="86"/>
    </row>
    <row r="102" spans="3:4" s="59" customFormat="1" ht="12.95" customHeight="1" x14ac:dyDescent="0.2">
      <c r="C102" s="86"/>
      <c r="D102" s="86"/>
    </row>
    <row r="103" spans="3:4" s="59" customFormat="1" ht="12.95" customHeight="1" x14ac:dyDescent="0.2">
      <c r="C103" s="86"/>
      <c r="D103" s="86"/>
    </row>
    <row r="104" spans="3:4" s="59" customFormat="1" ht="12.95" customHeight="1" x14ac:dyDescent="0.2">
      <c r="C104" s="86"/>
      <c r="D104" s="86"/>
    </row>
    <row r="105" spans="3:4" s="59" customFormat="1" ht="12.95" customHeight="1" x14ac:dyDescent="0.2">
      <c r="C105" s="86"/>
      <c r="D105" s="86"/>
    </row>
    <row r="106" spans="3:4" s="59" customFormat="1" ht="12.95" customHeight="1" x14ac:dyDescent="0.2">
      <c r="C106" s="86"/>
      <c r="D106" s="86"/>
    </row>
    <row r="107" spans="3:4" s="59" customFormat="1" ht="12.95" customHeight="1" x14ac:dyDescent="0.2">
      <c r="C107" s="86"/>
      <c r="D107" s="86"/>
    </row>
    <row r="108" spans="3:4" s="59" customFormat="1" ht="12.95" customHeight="1" x14ac:dyDescent="0.2">
      <c r="C108" s="86"/>
      <c r="D108" s="86"/>
    </row>
    <row r="109" spans="3:4" s="59" customFormat="1" ht="12.95" customHeight="1" x14ac:dyDescent="0.2">
      <c r="C109" s="86"/>
      <c r="D109" s="86"/>
    </row>
    <row r="110" spans="3:4" s="59" customFormat="1" ht="12.95" customHeight="1" x14ac:dyDescent="0.2">
      <c r="C110" s="86"/>
      <c r="D110" s="86"/>
    </row>
    <row r="111" spans="3:4" s="59" customFormat="1" ht="12.95" customHeight="1" x14ac:dyDescent="0.2">
      <c r="C111" s="86"/>
      <c r="D111" s="86"/>
    </row>
    <row r="112" spans="3:4" s="59" customFormat="1" ht="12.95" customHeight="1" x14ac:dyDescent="0.2">
      <c r="C112" s="86"/>
      <c r="D112" s="86"/>
    </row>
    <row r="113" spans="3:4" s="59" customFormat="1" ht="12.95" customHeight="1" x14ac:dyDescent="0.2">
      <c r="C113" s="86"/>
      <c r="D113" s="86"/>
    </row>
    <row r="114" spans="3:4" s="59" customFormat="1" ht="12.95" customHeight="1" x14ac:dyDescent="0.2">
      <c r="C114" s="86"/>
      <c r="D114" s="86"/>
    </row>
    <row r="115" spans="3:4" s="59" customFormat="1" ht="12.95" customHeight="1" x14ac:dyDescent="0.2">
      <c r="C115" s="86"/>
      <c r="D115" s="86"/>
    </row>
    <row r="116" spans="3:4" s="59" customFormat="1" ht="12.95" customHeight="1" x14ac:dyDescent="0.2">
      <c r="C116" s="86"/>
      <c r="D116" s="86"/>
    </row>
    <row r="117" spans="3:4" s="59" customFormat="1" ht="12.95" customHeight="1" x14ac:dyDescent="0.2">
      <c r="C117" s="86"/>
      <c r="D117" s="86"/>
    </row>
    <row r="118" spans="3:4" s="59" customFormat="1" ht="12.95" customHeight="1" x14ac:dyDescent="0.2">
      <c r="C118" s="86"/>
      <c r="D118" s="86"/>
    </row>
    <row r="119" spans="3:4" s="59" customFormat="1" ht="12.95" customHeight="1" x14ac:dyDescent="0.2">
      <c r="C119" s="86"/>
      <c r="D119" s="86"/>
    </row>
    <row r="120" spans="3:4" s="59" customFormat="1" ht="12.95" customHeight="1" x14ac:dyDescent="0.2">
      <c r="C120" s="86"/>
      <c r="D120" s="86"/>
    </row>
    <row r="121" spans="3:4" s="59" customFormat="1" ht="12.95" customHeight="1" x14ac:dyDescent="0.2">
      <c r="C121" s="86"/>
      <c r="D121" s="86"/>
    </row>
    <row r="122" spans="3:4" s="59" customFormat="1" ht="12.95" customHeight="1" x14ac:dyDescent="0.2">
      <c r="C122" s="86"/>
      <c r="D122" s="86"/>
    </row>
    <row r="123" spans="3:4" s="59" customFormat="1" ht="12.95" customHeight="1" x14ac:dyDescent="0.2">
      <c r="C123" s="86"/>
      <c r="D123" s="86"/>
    </row>
    <row r="124" spans="3:4" s="59" customFormat="1" ht="12.95" customHeight="1" x14ac:dyDescent="0.2">
      <c r="C124" s="86"/>
      <c r="D124" s="86"/>
    </row>
    <row r="125" spans="3:4" s="59" customFormat="1" ht="12.95" customHeight="1" x14ac:dyDescent="0.2">
      <c r="C125" s="86"/>
      <c r="D125" s="86"/>
    </row>
    <row r="126" spans="3:4" s="59" customFormat="1" ht="12.95" customHeight="1" x14ac:dyDescent="0.2">
      <c r="C126" s="86"/>
      <c r="D126" s="86"/>
    </row>
    <row r="127" spans="3:4" s="59" customFormat="1" ht="12.95" customHeight="1" x14ac:dyDescent="0.2">
      <c r="C127" s="86"/>
      <c r="D127" s="86"/>
    </row>
    <row r="128" spans="3:4" s="59" customFormat="1" ht="12.95" customHeight="1" x14ac:dyDescent="0.2">
      <c r="C128" s="86"/>
      <c r="D128" s="86"/>
    </row>
    <row r="129" spans="3:4" s="59" customFormat="1" ht="12.95" customHeight="1" x14ac:dyDescent="0.2">
      <c r="C129" s="86"/>
      <c r="D129" s="86"/>
    </row>
    <row r="130" spans="3:4" s="59" customFormat="1" ht="12.95" customHeight="1" x14ac:dyDescent="0.2">
      <c r="C130" s="86"/>
      <c r="D130" s="86"/>
    </row>
    <row r="131" spans="3:4" s="59" customFormat="1" ht="12.95" customHeight="1" x14ac:dyDescent="0.2">
      <c r="C131" s="86"/>
      <c r="D131" s="86"/>
    </row>
    <row r="132" spans="3:4" s="59" customFormat="1" ht="12.95" customHeight="1" x14ac:dyDescent="0.2">
      <c r="C132" s="86"/>
      <c r="D132" s="86"/>
    </row>
    <row r="133" spans="3:4" s="59" customFormat="1" ht="12.95" customHeight="1" x14ac:dyDescent="0.2">
      <c r="C133" s="86"/>
      <c r="D133" s="86"/>
    </row>
    <row r="134" spans="3:4" s="59" customFormat="1" ht="12.95" customHeight="1" x14ac:dyDescent="0.2">
      <c r="C134" s="86"/>
      <c r="D134" s="86"/>
    </row>
    <row r="135" spans="3:4" s="59" customFormat="1" ht="12.95" customHeight="1" x14ac:dyDescent="0.2">
      <c r="C135" s="86"/>
      <c r="D135" s="86"/>
    </row>
    <row r="136" spans="3:4" s="59" customFormat="1" ht="12.95" customHeight="1" x14ac:dyDescent="0.2">
      <c r="C136" s="86"/>
      <c r="D136" s="86"/>
    </row>
    <row r="137" spans="3:4" s="59" customFormat="1" ht="12.95" customHeight="1" x14ac:dyDescent="0.2">
      <c r="C137" s="86"/>
      <c r="D137" s="86"/>
    </row>
    <row r="138" spans="3:4" s="59" customFormat="1" ht="12.95" customHeight="1" x14ac:dyDescent="0.2">
      <c r="C138" s="86"/>
      <c r="D138" s="86"/>
    </row>
    <row r="139" spans="3:4" s="59" customFormat="1" ht="12.95" customHeight="1" x14ac:dyDescent="0.2">
      <c r="C139" s="86"/>
      <c r="D139" s="86"/>
    </row>
    <row r="140" spans="3:4" s="59" customFormat="1" ht="12.95" customHeight="1" x14ac:dyDescent="0.2">
      <c r="C140" s="86"/>
      <c r="D140" s="86"/>
    </row>
    <row r="141" spans="3:4" s="59" customFormat="1" ht="12.95" customHeight="1" x14ac:dyDescent="0.2">
      <c r="C141" s="86"/>
      <c r="D141" s="86"/>
    </row>
    <row r="142" spans="3:4" s="59" customFormat="1" ht="12.95" customHeight="1" x14ac:dyDescent="0.2">
      <c r="C142" s="86"/>
      <c r="D142" s="86"/>
    </row>
    <row r="143" spans="3:4" s="59" customFormat="1" ht="12.95" customHeight="1" x14ac:dyDescent="0.2">
      <c r="C143" s="86"/>
      <c r="D143" s="86"/>
    </row>
    <row r="144" spans="3:4" s="59" customFormat="1" ht="12.95" customHeight="1" x14ac:dyDescent="0.2">
      <c r="C144" s="86"/>
      <c r="D144" s="86"/>
    </row>
    <row r="145" spans="3:4" s="59" customFormat="1" ht="12.95" customHeight="1" x14ac:dyDescent="0.2">
      <c r="C145" s="86"/>
      <c r="D145" s="86"/>
    </row>
    <row r="146" spans="3:4" s="59" customFormat="1" ht="12.95" customHeight="1" x14ac:dyDescent="0.2">
      <c r="C146" s="86"/>
      <c r="D146" s="86"/>
    </row>
    <row r="147" spans="3:4" s="59" customFormat="1" ht="12.95" customHeight="1" x14ac:dyDescent="0.2">
      <c r="C147" s="86"/>
      <c r="D147" s="86"/>
    </row>
    <row r="148" spans="3:4" s="59" customFormat="1" ht="12.95" customHeight="1" x14ac:dyDescent="0.2">
      <c r="C148" s="86"/>
      <c r="D148" s="86"/>
    </row>
    <row r="149" spans="3:4" s="59" customFormat="1" ht="12.95" customHeight="1" x14ac:dyDescent="0.2">
      <c r="C149" s="86"/>
      <c r="D149" s="86"/>
    </row>
    <row r="150" spans="3:4" s="59" customFormat="1" ht="12.95" customHeight="1" x14ac:dyDescent="0.2">
      <c r="C150" s="86"/>
      <c r="D150" s="86"/>
    </row>
    <row r="151" spans="3:4" s="59" customFormat="1" ht="12.95" customHeight="1" x14ac:dyDescent="0.2">
      <c r="C151" s="86"/>
      <c r="D151" s="86"/>
    </row>
    <row r="152" spans="3:4" s="59" customFormat="1" ht="12.95" customHeight="1" x14ac:dyDescent="0.2">
      <c r="C152" s="86"/>
      <c r="D152" s="86"/>
    </row>
    <row r="153" spans="3:4" s="59" customFormat="1" ht="12.95" customHeight="1" x14ac:dyDescent="0.2">
      <c r="C153" s="86"/>
      <c r="D153" s="86"/>
    </row>
    <row r="154" spans="3:4" s="59" customFormat="1" ht="12.95" customHeight="1" x14ac:dyDescent="0.2">
      <c r="C154" s="86"/>
      <c r="D154" s="86"/>
    </row>
    <row r="155" spans="3:4" s="59" customFormat="1" ht="12.95" customHeight="1" x14ac:dyDescent="0.2">
      <c r="C155" s="86"/>
      <c r="D155" s="86"/>
    </row>
    <row r="156" spans="3:4" s="59" customFormat="1" ht="12.95" customHeight="1" x14ac:dyDescent="0.2">
      <c r="C156" s="86"/>
      <c r="D156" s="86"/>
    </row>
    <row r="157" spans="3:4" s="59" customFormat="1" ht="12.95" customHeight="1" x14ac:dyDescent="0.2">
      <c r="C157" s="86"/>
      <c r="D157" s="86"/>
    </row>
    <row r="158" spans="3:4" s="59" customFormat="1" ht="12.95" customHeight="1" x14ac:dyDescent="0.2">
      <c r="C158" s="86"/>
      <c r="D158" s="86"/>
    </row>
    <row r="159" spans="3:4" s="59" customFormat="1" ht="12.95" customHeight="1" x14ac:dyDescent="0.2">
      <c r="C159" s="86"/>
      <c r="D159" s="86"/>
    </row>
    <row r="160" spans="3:4" s="59" customFormat="1" ht="12.95" customHeight="1" x14ac:dyDescent="0.2">
      <c r="C160" s="86"/>
      <c r="D160" s="86"/>
    </row>
    <row r="161" spans="3:4" s="59" customFormat="1" ht="12.95" customHeight="1" x14ac:dyDescent="0.2">
      <c r="C161" s="86"/>
      <c r="D161" s="86"/>
    </row>
    <row r="162" spans="3:4" s="59" customFormat="1" ht="12.95" customHeight="1" x14ac:dyDescent="0.2">
      <c r="C162" s="86"/>
      <c r="D162" s="86"/>
    </row>
    <row r="163" spans="3:4" s="59" customFormat="1" ht="12.95" customHeight="1" x14ac:dyDescent="0.2">
      <c r="C163" s="86"/>
      <c r="D163" s="86"/>
    </row>
    <row r="164" spans="3:4" s="59" customFormat="1" ht="12.95" customHeight="1" x14ac:dyDescent="0.2">
      <c r="C164" s="86"/>
      <c r="D164" s="86"/>
    </row>
    <row r="165" spans="3:4" s="59" customFormat="1" ht="12.95" customHeight="1" x14ac:dyDescent="0.2">
      <c r="C165" s="86"/>
      <c r="D165" s="86"/>
    </row>
    <row r="166" spans="3:4" s="59" customFormat="1" ht="12.95" customHeight="1" x14ac:dyDescent="0.2">
      <c r="C166" s="86"/>
      <c r="D166" s="86"/>
    </row>
    <row r="167" spans="3:4" s="59" customFormat="1" ht="12.95" customHeight="1" x14ac:dyDescent="0.2">
      <c r="C167" s="86"/>
      <c r="D167" s="86"/>
    </row>
    <row r="168" spans="3:4" s="59" customFormat="1" ht="12.95" customHeight="1" x14ac:dyDescent="0.2">
      <c r="C168" s="86"/>
      <c r="D168" s="86"/>
    </row>
    <row r="169" spans="3:4" s="59" customFormat="1" ht="12.95" customHeight="1" x14ac:dyDescent="0.2">
      <c r="C169" s="86"/>
      <c r="D169" s="86"/>
    </row>
    <row r="170" spans="3:4" s="59" customFormat="1" ht="12.95" customHeight="1" x14ac:dyDescent="0.2">
      <c r="C170" s="86"/>
      <c r="D170" s="86"/>
    </row>
    <row r="171" spans="3:4" s="59" customFormat="1" ht="12.95" customHeight="1" x14ac:dyDescent="0.2">
      <c r="C171" s="86"/>
      <c r="D171" s="86"/>
    </row>
    <row r="172" spans="3:4" s="59" customFormat="1" ht="12.95" customHeight="1" x14ac:dyDescent="0.2">
      <c r="C172" s="86"/>
      <c r="D172" s="86"/>
    </row>
    <row r="173" spans="3:4" s="59" customFormat="1" ht="12.95" customHeight="1" x14ac:dyDescent="0.2">
      <c r="C173" s="86"/>
      <c r="D173" s="86"/>
    </row>
    <row r="174" spans="3:4" s="59" customFormat="1" ht="12.95" customHeight="1" x14ac:dyDescent="0.2">
      <c r="C174" s="86"/>
      <c r="D174" s="86"/>
    </row>
    <row r="175" spans="3:4" s="59" customFormat="1" ht="12.95" customHeight="1" x14ac:dyDescent="0.2">
      <c r="C175" s="86"/>
      <c r="D175" s="86"/>
    </row>
    <row r="176" spans="3:4" s="59" customFormat="1" ht="12.95" customHeight="1" x14ac:dyDescent="0.2">
      <c r="C176" s="86"/>
      <c r="D176" s="86"/>
    </row>
    <row r="177" spans="3:4" s="59" customFormat="1" ht="12.95" customHeight="1" x14ac:dyDescent="0.2">
      <c r="C177" s="86"/>
      <c r="D177" s="86"/>
    </row>
    <row r="178" spans="3:4" s="59" customFormat="1" ht="12.95" customHeight="1" x14ac:dyDescent="0.2">
      <c r="C178" s="86"/>
      <c r="D178" s="86"/>
    </row>
    <row r="179" spans="3:4" s="59" customFormat="1" ht="12.95" customHeight="1" x14ac:dyDescent="0.2">
      <c r="C179" s="86"/>
      <c r="D179" s="86"/>
    </row>
    <row r="180" spans="3:4" s="59" customFormat="1" ht="12.95" customHeight="1" x14ac:dyDescent="0.2">
      <c r="C180" s="86"/>
      <c r="D180" s="86"/>
    </row>
    <row r="181" spans="3:4" s="59" customFormat="1" ht="12.95" customHeight="1" x14ac:dyDescent="0.2">
      <c r="C181" s="86"/>
      <c r="D181" s="86"/>
    </row>
    <row r="182" spans="3:4" s="59" customFormat="1" ht="12.95" customHeight="1" x14ac:dyDescent="0.2">
      <c r="C182" s="86"/>
      <c r="D182" s="86"/>
    </row>
    <row r="183" spans="3:4" s="59" customFormat="1" ht="12.95" customHeight="1" x14ac:dyDescent="0.2">
      <c r="C183" s="86"/>
      <c r="D183" s="86"/>
    </row>
    <row r="184" spans="3:4" s="59" customFormat="1" ht="12.95" customHeight="1" x14ac:dyDescent="0.2">
      <c r="C184" s="86"/>
      <c r="D184" s="86"/>
    </row>
    <row r="185" spans="3:4" s="59" customFormat="1" ht="12.95" customHeight="1" x14ac:dyDescent="0.2">
      <c r="C185" s="86"/>
      <c r="D185" s="86"/>
    </row>
    <row r="186" spans="3:4" s="59" customFormat="1" ht="12.95" customHeight="1" x14ac:dyDescent="0.2">
      <c r="C186" s="86"/>
      <c r="D186" s="86"/>
    </row>
    <row r="187" spans="3:4" s="59" customFormat="1" ht="12.95" customHeight="1" x14ac:dyDescent="0.2">
      <c r="C187" s="86"/>
      <c r="D187" s="86"/>
    </row>
    <row r="188" spans="3:4" s="59" customFormat="1" ht="12.95" customHeight="1" x14ac:dyDescent="0.2">
      <c r="C188" s="86"/>
      <c r="D188" s="86"/>
    </row>
    <row r="189" spans="3:4" s="59" customFormat="1" ht="12.95" customHeight="1" x14ac:dyDescent="0.2">
      <c r="C189" s="86"/>
      <c r="D189" s="86"/>
    </row>
    <row r="190" spans="3:4" s="59" customFormat="1" ht="12.95" customHeight="1" x14ac:dyDescent="0.2">
      <c r="C190" s="86"/>
      <c r="D190" s="86"/>
    </row>
    <row r="191" spans="3:4" s="59" customFormat="1" ht="12.95" customHeight="1" x14ac:dyDescent="0.2">
      <c r="C191" s="86"/>
      <c r="D191" s="86"/>
    </row>
    <row r="192" spans="3:4" s="59" customFormat="1" ht="12.95" customHeight="1" x14ac:dyDescent="0.2">
      <c r="C192" s="86"/>
      <c r="D192" s="86"/>
    </row>
    <row r="193" spans="3:4" s="59" customFormat="1" ht="12.95" customHeight="1" x14ac:dyDescent="0.2">
      <c r="C193" s="86"/>
      <c r="D193" s="86"/>
    </row>
    <row r="194" spans="3:4" s="59" customFormat="1" ht="12.95" customHeight="1" x14ac:dyDescent="0.2">
      <c r="C194" s="86"/>
      <c r="D194" s="86"/>
    </row>
    <row r="195" spans="3:4" s="59" customFormat="1" ht="12.95" customHeight="1" x14ac:dyDescent="0.2">
      <c r="C195" s="86"/>
      <c r="D195" s="86"/>
    </row>
    <row r="196" spans="3:4" s="59" customFormat="1" ht="12.95" customHeight="1" x14ac:dyDescent="0.2">
      <c r="C196" s="86"/>
      <c r="D196" s="86"/>
    </row>
    <row r="197" spans="3:4" s="59" customFormat="1" ht="12.95" customHeight="1" x14ac:dyDescent="0.2">
      <c r="C197" s="86"/>
      <c r="D197" s="86"/>
    </row>
    <row r="198" spans="3:4" s="59" customFormat="1" ht="12.95" customHeight="1" x14ac:dyDescent="0.2">
      <c r="C198" s="86"/>
      <c r="D198" s="86"/>
    </row>
    <row r="199" spans="3:4" s="59" customFormat="1" ht="12.95" customHeight="1" x14ac:dyDescent="0.2">
      <c r="C199" s="86"/>
      <c r="D199" s="86"/>
    </row>
    <row r="200" spans="3:4" s="59" customFormat="1" ht="12.95" customHeight="1" x14ac:dyDescent="0.2">
      <c r="C200" s="86"/>
      <c r="D200" s="86"/>
    </row>
    <row r="201" spans="3:4" s="59" customFormat="1" ht="12.95" customHeight="1" x14ac:dyDescent="0.2">
      <c r="C201" s="86"/>
      <c r="D201" s="86"/>
    </row>
    <row r="202" spans="3:4" s="59" customFormat="1" ht="12.95" customHeight="1" x14ac:dyDescent="0.2">
      <c r="C202" s="86"/>
      <c r="D202" s="86"/>
    </row>
    <row r="203" spans="3:4" s="59" customFormat="1" ht="12.95" customHeight="1" x14ac:dyDescent="0.2">
      <c r="C203" s="86"/>
      <c r="D203" s="86"/>
    </row>
    <row r="204" spans="3:4" s="59" customFormat="1" ht="12.95" customHeight="1" x14ac:dyDescent="0.2">
      <c r="C204" s="86"/>
      <c r="D204" s="86"/>
    </row>
    <row r="205" spans="3:4" s="59" customFormat="1" ht="12.95" customHeight="1" x14ac:dyDescent="0.2">
      <c r="C205" s="86"/>
      <c r="D205" s="86"/>
    </row>
    <row r="206" spans="3:4" s="59" customFormat="1" ht="12.95" customHeight="1" x14ac:dyDescent="0.2">
      <c r="C206" s="86"/>
      <c r="D206" s="86"/>
    </row>
    <row r="207" spans="3:4" s="59" customFormat="1" ht="12.95" customHeight="1" x14ac:dyDescent="0.2">
      <c r="C207" s="86"/>
      <c r="D207" s="86"/>
    </row>
    <row r="208" spans="3:4" s="59" customFormat="1" ht="12.95" customHeight="1" x14ac:dyDescent="0.2">
      <c r="C208" s="86"/>
      <c r="D208" s="86"/>
    </row>
    <row r="209" spans="3:4" s="59" customFormat="1" ht="12.95" customHeight="1" x14ac:dyDescent="0.2">
      <c r="C209" s="86"/>
      <c r="D209" s="86"/>
    </row>
    <row r="210" spans="3:4" s="59" customFormat="1" ht="12.95" customHeight="1" x14ac:dyDescent="0.2">
      <c r="C210" s="86"/>
      <c r="D210" s="86"/>
    </row>
    <row r="211" spans="3:4" s="59" customFormat="1" ht="12.95" customHeight="1" x14ac:dyDescent="0.2">
      <c r="C211" s="86"/>
      <c r="D211" s="86"/>
    </row>
    <row r="212" spans="3:4" s="59" customFormat="1" ht="12.95" customHeight="1" x14ac:dyDescent="0.2">
      <c r="C212" s="86"/>
      <c r="D212" s="86"/>
    </row>
    <row r="213" spans="3:4" s="59" customFormat="1" ht="12.95" customHeight="1" x14ac:dyDescent="0.2">
      <c r="C213" s="86"/>
      <c r="D213" s="86"/>
    </row>
    <row r="214" spans="3:4" s="59" customFormat="1" ht="12.95" customHeight="1" x14ac:dyDescent="0.2">
      <c r="C214" s="86"/>
      <c r="D214" s="86"/>
    </row>
    <row r="215" spans="3:4" s="59" customFormat="1" ht="12.95" customHeight="1" x14ac:dyDescent="0.2">
      <c r="C215" s="86"/>
      <c r="D215" s="86"/>
    </row>
    <row r="216" spans="3:4" s="59" customFormat="1" ht="12.95" customHeight="1" x14ac:dyDescent="0.2">
      <c r="C216" s="86"/>
      <c r="D216" s="86"/>
    </row>
    <row r="217" spans="3:4" s="59" customFormat="1" ht="12.95" customHeight="1" x14ac:dyDescent="0.2">
      <c r="C217" s="86"/>
      <c r="D217" s="86"/>
    </row>
    <row r="218" spans="3:4" s="59" customFormat="1" ht="12.95" customHeight="1" x14ac:dyDescent="0.2">
      <c r="C218" s="86"/>
      <c r="D218" s="86"/>
    </row>
    <row r="219" spans="3:4" s="59" customFormat="1" ht="12.95" customHeight="1" x14ac:dyDescent="0.2">
      <c r="C219" s="86"/>
      <c r="D219" s="86"/>
    </row>
    <row r="220" spans="3:4" s="59" customFormat="1" ht="12.95" customHeight="1" x14ac:dyDescent="0.2">
      <c r="C220" s="86"/>
      <c r="D220" s="86"/>
    </row>
    <row r="221" spans="3:4" s="59" customFormat="1" ht="12.95" customHeight="1" x14ac:dyDescent="0.2">
      <c r="C221" s="86"/>
      <c r="D221" s="86"/>
    </row>
    <row r="222" spans="3:4" s="59" customFormat="1" ht="12.95" customHeight="1" x14ac:dyDescent="0.2">
      <c r="C222" s="86"/>
      <c r="D222" s="86"/>
    </row>
    <row r="223" spans="3:4" s="59" customFormat="1" ht="12.95" customHeight="1" x14ac:dyDescent="0.2">
      <c r="C223" s="86"/>
      <c r="D223" s="86"/>
    </row>
    <row r="224" spans="3:4" s="59" customFormat="1" ht="12.95" customHeight="1" x14ac:dyDescent="0.2">
      <c r="C224" s="86"/>
      <c r="D224" s="86"/>
    </row>
    <row r="225" spans="3:4" s="59" customFormat="1" ht="12.95" customHeight="1" x14ac:dyDescent="0.2">
      <c r="C225" s="86"/>
      <c r="D225" s="86"/>
    </row>
    <row r="226" spans="3:4" s="59" customFormat="1" ht="12.95" customHeight="1" x14ac:dyDescent="0.2">
      <c r="C226" s="86"/>
      <c r="D226" s="86"/>
    </row>
    <row r="227" spans="3:4" s="59" customFormat="1" ht="12.95" customHeight="1" x14ac:dyDescent="0.2">
      <c r="C227" s="86"/>
      <c r="D227" s="86"/>
    </row>
    <row r="228" spans="3:4" s="59" customFormat="1" ht="12.95" customHeight="1" x14ac:dyDescent="0.2">
      <c r="C228" s="86"/>
      <c r="D228" s="86"/>
    </row>
    <row r="229" spans="3:4" s="59" customFormat="1" ht="12.95" customHeight="1" x14ac:dyDescent="0.2">
      <c r="C229" s="86"/>
      <c r="D229" s="86"/>
    </row>
    <row r="230" spans="3:4" s="59" customFormat="1" ht="12.95" customHeight="1" x14ac:dyDescent="0.2">
      <c r="C230" s="86"/>
      <c r="D230" s="86"/>
    </row>
    <row r="231" spans="3:4" s="59" customFormat="1" ht="12.95" customHeight="1" x14ac:dyDescent="0.2">
      <c r="C231" s="86"/>
      <c r="D231" s="86"/>
    </row>
    <row r="232" spans="3:4" s="59" customFormat="1" ht="12.95" customHeight="1" x14ac:dyDescent="0.2">
      <c r="C232" s="86"/>
      <c r="D232" s="86"/>
    </row>
    <row r="233" spans="3:4" s="59" customFormat="1" ht="12.95" customHeight="1" x14ac:dyDescent="0.2">
      <c r="C233" s="86"/>
      <c r="D233" s="86"/>
    </row>
    <row r="234" spans="3:4" s="59" customFormat="1" ht="12.95" customHeight="1" x14ac:dyDescent="0.2">
      <c r="C234" s="86"/>
      <c r="D234" s="86"/>
    </row>
    <row r="235" spans="3:4" s="59" customFormat="1" ht="12.95" customHeight="1" x14ac:dyDescent="0.2">
      <c r="C235" s="86"/>
      <c r="D235" s="86"/>
    </row>
    <row r="236" spans="3:4" s="59" customFormat="1" ht="12.95" customHeight="1" x14ac:dyDescent="0.2">
      <c r="C236" s="86"/>
      <c r="D236" s="86"/>
    </row>
    <row r="237" spans="3:4" s="59" customFormat="1" ht="12.95" customHeight="1" x14ac:dyDescent="0.2">
      <c r="C237" s="86"/>
      <c r="D237" s="86"/>
    </row>
    <row r="238" spans="3:4" s="59" customFormat="1" ht="12.95" customHeight="1" x14ac:dyDescent="0.2">
      <c r="C238" s="86"/>
      <c r="D238" s="86"/>
    </row>
    <row r="239" spans="3:4" s="59" customFormat="1" ht="12.95" customHeight="1" x14ac:dyDescent="0.2">
      <c r="C239" s="86"/>
      <c r="D239" s="86"/>
    </row>
    <row r="240" spans="3:4" s="59" customFormat="1" ht="12.95" customHeight="1" x14ac:dyDescent="0.2">
      <c r="C240" s="86"/>
      <c r="D240" s="86"/>
    </row>
    <row r="241" spans="3:4" s="59" customFormat="1" ht="12.95" customHeight="1" x14ac:dyDescent="0.2">
      <c r="C241" s="86"/>
      <c r="D241" s="86"/>
    </row>
    <row r="242" spans="3:4" s="59" customFormat="1" ht="12.95" customHeight="1" x14ac:dyDescent="0.2">
      <c r="C242" s="86"/>
      <c r="D242" s="86"/>
    </row>
    <row r="243" spans="3:4" s="59" customFormat="1" ht="12.95" customHeight="1" x14ac:dyDescent="0.2">
      <c r="C243" s="86"/>
      <c r="D243" s="86"/>
    </row>
    <row r="244" spans="3:4" s="59" customFormat="1" ht="12.95" customHeight="1" x14ac:dyDescent="0.2">
      <c r="C244" s="86"/>
      <c r="D244" s="86"/>
    </row>
    <row r="245" spans="3:4" s="59" customFormat="1" ht="12.95" customHeight="1" x14ac:dyDescent="0.2">
      <c r="C245" s="86"/>
      <c r="D245" s="86"/>
    </row>
    <row r="246" spans="3:4" s="59" customFormat="1" ht="12.95" customHeight="1" x14ac:dyDescent="0.2">
      <c r="C246" s="86"/>
      <c r="D246" s="86"/>
    </row>
    <row r="247" spans="3:4" s="59" customFormat="1" ht="12.95" customHeight="1" x14ac:dyDescent="0.2">
      <c r="C247" s="86"/>
      <c r="D247" s="86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</sheetData>
  <sortState xmlns:xlrd2="http://schemas.microsoft.com/office/spreadsheetml/2017/richdata2" ref="A21:R83">
    <sortCondition ref="C21:C83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145"/>
  <sheetViews>
    <sheetView workbookViewId="0">
      <selection activeCell="F10" sqref="F10"/>
    </sheetView>
  </sheetViews>
  <sheetFormatPr defaultRowHeight="12.75" x14ac:dyDescent="0.2"/>
  <cols>
    <col min="5" max="6" width="12.42578125" bestFit="1" customWidth="1"/>
  </cols>
  <sheetData>
    <row r="1" spans="1:23" ht="18.75" thickBot="1" x14ac:dyDescent="0.25">
      <c r="A1" s="10" t="s">
        <v>51</v>
      </c>
      <c r="B1" s="5"/>
      <c r="C1" s="5"/>
      <c r="D1" s="6" t="s">
        <v>52</v>
      </c>
      <c r="E1" s="5"/>
      <c r="F1" s="5"/>
      <c r="G1" s="5"/>
      <c r="H1" s="5"/>
      <c r="K1" s="11" t="s">
        <v>53</v>
      </c>
      <c r="L1" s="5" t="s">
        <v>54</v>
      </c>
      <c r="M1" s="5">
        <f ca="1">F18*H18-G18*G18</f>
        <v>49.146139640952129</v>
      </c>
      <c r="N1" s="5"/>
      <c r="O1" s="5"/>
      <c r="P1" s="5"/>
      <c r="Q1" s="5"/>
      <c r="R1" s="5">
        <v>1</v>
      </c>
      <c r="S1" s="5" t="s">
        <v>55</v>
      </c>
      <c r="V1" s="3" t="s">
        <v>112</v>
      </c>
      <c r="W1" s="40" t="s">
        <v>49</v>
      </c>
    </row>
    <row r="2" spans="1:23" x14ac:dyDescent="0.2">
      <c r="A2" s="5"/>
      <c r="B2" s="5"/>
      <c r="C2" s="5"/>
      <c r="D2" s="5"/>
      <c r="E2" s="5"/>
      <c r="F2" s="5"/>
      <c r="G2" s="5"/>
      <c r="H2" s="5"/>
      <c r="K2" s="11" t="s">
        <v>56</v>
      </c>
      <c r="L2" s="5" t="s">
        <v>57</v>
      </c>
      <c r="M2" s="5">
        <f ca="1">+D18*H18-F18*G18</f>
        <v>-6.194700071680586</v>
      </c>
      <c r="N2" s="5"/>
      <c r="O2" s="5"/>
      <c r="P2" s="5"/>
      <c r="Q2" s="5"/>
      <c r="R2" s="5">
        <v>2</v>
      </c>
      <c r="S2" s="5" t="s">
        <v>58</v>
      </c>
      <c r="V2">
        <v>-0.6</v>
      </c>
      <c r="W2">
        <f ca="1">+E$4+E$5*V2+E$6*V2^2</f>
        <v>4.1720017358004222E-3</v>
      </c>
    </row>
    <row r="3" spans="1:23" ht="13.5" thickBot="1" x14ac:dyDescent="0.25">
      <c r="A3" s="5" t="s">
        <v>59</v>
      </c>
      <c r="B3" s="5" t="s">
        <v>60</v>
      </c>
      <c r="C3" s="5"/>
      <c r="D3" s="5"/>
      <c r="E3" s="12" t="s">
        <v>61</v>
      </c>
      <c r="F3" s="12" t="s">
        <v>62</v>
      </c>
      <c r="G3" s="12" t="s">
        <v>63</v>
      </c>
      <c r="H3" s="12" t="s">
        <v>64</v>
      </c>
      <c r="K3" s="11" t="s">
        <v>65</v>
      </c>
      <c r="L3" s="5" t="s">
        <v>66</v>
      </c>
      <c r="M3" s="5">
        <f ca="1">+D18*G18-F18*F18</f>
        <v>-64.717300904919341</v>
      </c>
      <c r="N3" s="5"/>
      <c r="O3" s="5"/>
      <c r="P3" s="5"/>
      <c r="Q3" s="5"/>
      <c r="R3" s="5">
        <v>3</v>
      </c>
      <c r="S3" s="5" t="s">
        <v>67</v>
      </c>
      <c r="V3">
        <v>-0.5</v>
      </c>
      <c r="W3">
        <f t="shared" ref="W3:W16" ca="1" si="0">+E$4+E$5*V3+E$6*V3^2</f>
        <v>3.7122256467783605E-3</v>
      </c>
    </row>
    <row r="4" spans="1:23" x14ac:dyDescent="0.2">
      <c r="A4" s="5" t="s">
        <v>68</v>
      </c>
      <c r="B4" s="5" t="s">
        <v>69</v>
      </c>
      <c r="C4" s="5"/>
      <c r="D4" s="13" t="s">
        <v>70</v>
      </c>
      <c r="E4" s="14">
        <f ca="1">(E18*M1-I18*M2+J18*M3)/M7</f>
        <v>3.8664530011719117E-3</v>
      </c>
      <c r="F4" s="15">
        <f ca="1">+E7/M7*M18</f>
        <v>4.4269660867757407E-4</v>
      </c>
      <c r="G4" s="16">
        <f>+B18</f>
        <v>1</v>
      </c>
      <c r="H4" s="17">
        <f ca="1">ABS(F4/E4)</f>
        <v>0.11449682914635038</v>
      </c>
      <c r="K4" s="11" t="s">
        <v>71</v>
      </c>
      <c r="L4" s="5" t="s">
        <v>72</v>
      </c>
      <c r="M4" s="5">
        <f ca="1">+D17*H18-F18*F18</f>
        <v>400.55109828523553</v>
      </c>
      <c r="N4" s="5"/>
      <c r="O4" s="5"/>
      <c r="P4" s="5"/>
      <c r="Q4" s="5"/>
      <c r="R4" s="5">
        <v>4</v>
      </c>
      <c r="S4" s="5" t="s">
        <v>73</v>
      </c>
      <c r="V4">
        <v>-0.4</v>
      </c>
      <c r="W4">
        <f t="shared" ca="1" si="0"/>
        <v>3.4159900777232226E-3</v>
      </c>
    </row>
    <row r="5" spans="1:23" x14ac:dyDescent="0.2">
      <c r="A5" s="5" t="s">
        <v>74</v>
      </c>
      <c r="B5" s="18">
        <v>40323</v>
      </c>
      <c r="C5" s="5"/>
      <c r="D5" s="19" t="s">
        <v>75</v>
      </c>
      <c r="E5" s="20">
        <f ca="1">+(-E18*M2+I18*M4-J18*M5)/M7</f>
        <v>4.396967707960206E-3</v>
      </c>
      <c r="F5" s="21">
        <f ca="1">N18*E7/M7</f>
        <v>1.2638352182657449E-3</v>
      </c>
      <c r="G5" s="22">
        <f>+B18/A18</f>
        <v>1E-4</v>
      </c>
      <c r="H5" s="17">
        <f ca="1">ABS(F5/E5)</f>
        <v>0.28743336367417849</v>
      </c>
      <c r="K5" s="11" t="s">
        <v>76</v>
      </c>
      <c r="L5" s="5" t="s">
        <v>77</v>
      </c>
      <c r="M5" s="5">
        <f ca="1">+D17*G18-D18*F18</f>
        <v>419.15569061014423</v>
      </c>
      <c r="N5" s="5"/>
      <c r="O5" s="5"/>
      <c r="P5" s="5"/>
      <c r="Q5" s="5"/>
      <c r="R5" s="5">
        <v>5</v>
      </c>
      <c r="S5" s="5" t="s">
        <v>78</v>
      </c>
      <c r="V5">
        <v>-0.3</v>
      </c>
      <c r="W5">
        <f t="shared" ca="1" si="0"/>
        <v>3.2832950286350087E-3</v>
      </c>
    </row>
    <row r="6" spans="1:23" ht="13.5" thickBot="1" x14ac:dyDescent="0.25">
      <c r="A6" s="5"/>
      <c r="B6" s="5"/>
      <c r="D6" s="23" t="s">
        <v>79</v>
      </c>
      <c r="E6" s="24">
        <f ca="1">+(E18*M3-I18*M5+J18*M6)/M7</f>
        <v>8.177025998346207E-3</v>
      </c>
      <c r="F6" s="25">
        <f ca="1">O18*E7/M7</f>
        <v>1.4941581939666559E-3</v>
      </c>
      <c r="G6" s="26">
        <f>+B18/A18^2</f>
        <v>1E-8</v>
      </c>
      <c r="H6" s="17">
        <f ca="1">ABS(F6/E6)</f>
        <v>0.18272635971425888</v>
      </c>
      <c r="K6" s="27" t="s">
        <v>80</v>
      </c>
      <c r="L6" s="28" t="s">
        <v>81</v>
      </c>
      <c r="M6" s="28">
        <f ca="1">+D17*F18-D18*D18</f>
        <v>559.84806551000008</v>
      </c>
      <c r="N6" s="5"/>
      <c r="O6" s="5"/>
      <c r="P6" s="5"/>
      <c r="Q6" s="5"/>
      <c r="R6" s="5">
        <v>6</v>
      </c>
      <c r="S6" s="5" t="s">
        <v>82</v>
      </c>
      <c r="V6">
        <v>-0.2</v>
      </c>
      <c r="W6">
        <f t="shared" ca="1" si="0"/>
        <v>3.3141404995137187E-3</v>
      </c>
    </row>
    <row r="7" spans="1:23" x14ac:dyDescent="0.2">
      <c r="B7" s="5"/>
      <c r="C7" s="5"/>
      <c r="D7" s="6" t="s">
        <v>83</v>
      </c>
      <c r="E7" s="29">
        <f ca="1">SQRT(L18/(D17-3))</f>
        <v>2.0084614742313014E-3</v>
      </c>
      <c r="F7" s="5"/>
      <c r="G7" s="30">
        <f>+B22</f>
        <v>-6.9999999686842784E-4</v>
      </c>
      <c r="H7" s="5"/>
      <c r="K7" s="11" t="s">
        <v>84</v>
      </c>
      <c r="L7" s="5" t="s">
        <v>85</v>
      </c>
      <c r="M7" s="5">
        <f ca="1">+D17*M1-D18*M2+F18*M3</f>
        <v>1011.5888446255863</v>
      </c>
      <c r="N7" s="5"/>
      <c r="O7" s="5"/>
      <c r="P7" s="5"/>
      <c r="Q7" s="5"/>
      <c r="R7" s="5">
        <v>7</v>
      </c>
      <c r="S7" s="5" t="s">
        <v>86</v>
      </c>
      <c r="V7">
        <v>-0.1</v>
      </c>
      <c r="W7">
        <f t="shared" ca="1" si="0"/>
        <v>3.508526490359353E-3</v>
      </c>
    </row>
    <row r="8" spans="1:23" x14ac:dyDescent="0.2">
      <c r="B8" s="5"/>
      <c r="C8" s="5"/>
      <c r="D8" s="6" t="s">
        <v>87</v>
      </c>
      <c r="E8" s="5"/>
      <c r="F8" s="31">
        <f ca="1">CORREL(INDIRECT(E12):INDIRECT(E13),INDIRECT(K12):INDIRECT(K13))</f>
        <v>0.94129787641333218</v>
      </c>
      <c r="G8" s="29"/>
      <c r="H8" s="5"/>
      <c r="I8" s="30"/>
      <c r="J8" s="5"/>
      <c r="K8" s="5"/>
      <c r="L8" s="5"/>
      <c r="M8" s="5"/>
      <c r="N8" s="5"/>
      <c r="O8" s="5"/>
      <c r="P8" s="5"/>
      <c r="Q8" s="5"/>
      <c r="R8" s="5">
        <v>8</v>
      </c>
      <c r="S8" s="5" t="s">
        <v>88</v>
      </c>
      <c r="V8">
        <v>0</v>
      </c>
      <c r="W8">
        <f t="shared" ca="1" si="0"/>
        <v>3.8664530011719117E-3</v>
      </c>
    </row>
    <row r="9" spans="1:23" x14ac:dyDescent="0.2">
      <c r="A9" s="5"/>
      <c r="B9" s="5"/>
      <c r="C9" s="5"/>
      <c r="D9" s="5"/>
      <c r="E9" s="32">
        <f ca="1">E6*G6</f>
        <v>8.1770259983462075E-11</v>
      </c>
      <c r="F9" s="33">
        <f ca="1">H6</f>
        <v>0.18272635971425888</v>
      </c>
      <c r="G9" s="34">
        <f ca="1">F8</f>
        <v>0.94129787641333218</v>
      </c>
      <c r="I9" s="30"/>
      <c r="J9" s="5"/>
      <c r="K9" s="5"/>
      <c r="L9" s="5"/>
      <c r="M9" s="5"/>
      <c r="N9" s="5"/>
      <c r="O9" s="5"/>
      <c r="P9" s="5"/>
      <c r="Q9" s="5"/>
      <c r="R9" s="5">
        <v>9</v>
      </c>
      <c r="S9" s="5" t="s">
        <v>30</v>
      </c>
      <c r="V9">
        <v>0.1</v>
      </c>
      <c r="W9">
        <f t="shared" ca="1" si="0"/>
        <v>4.3879200319513947E-3</v>
      </c>
    </row>
    <row r="10" spans="1:23" x14ac:dyDescent="0.2">
      <c r="A10" s="5" t="s">
        <v>3</v>
      </c>
      <c r="B10" s="5">
        <f>Active!C8</f>
        <v>0.29804999999999998</v>
      </c>
      <c r="C10" s="5"/>
      <c r="D10" s="5" t="s">
        <v>282</v>
      </c>
      <c r="E10" s="5">
        <f ca="1">2*E9*365.24/B10</f>
        <v>2.0040778229397547E-7</v>
      </c>
      <c r="F10" s="5">
        <f ca="1">+F9*E10</f>
        <v>3.6619784516985842E-8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>
        <v>10</v>
      </c>
      <c r="S10" s="5" t="s">
        <v>89</v>
      </c>
      <c r="V10">
        <v>0.2</v>
      </c>
      <c r="W10">
        <f t="shared" ca="1" si="0"/>
        <v>5.072927582697802E-3</v>
      </c>
    </row>
    <row r="11" spans="1:23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11</v>
      </c>
      <c r="S11" s="5" t="s">
        <v>90</v>
      </c>
      <c r="V11">
        <v>0.3</v>
      </c>
      <c r="W11">
        <f t="shared" ca="1" si="0"/>
        <v>5.9214756534111323E-3</v>
      </c>
    </row>
    <row r="12" spans="1:23" x14ac:dyDescent="0.2">
      <c r="A12" s="9">
        <v>21</v>
      </c>
      <c r="B12" s="5" t="s">
        <v>91</v>
      </c>
      <c r="C12" s="35">
        <v>21</v>
      </c>
      <c r="D12" s="2" t="str">
        <f>D$15&amp;$C12</f>
        <v>D21</v>
      </c>
      <c r="E12" s="2" t="str">
        <f t="shared" ref="E12:O12" si="1">E15&amp;$C12</f>
        <v>E21</v>
      </c>
      <c r="F12" s="2" t="str">
        <f t="shared" si="1"/>
        <v>F21</v>
      </c>
      <c r="G12" s="2" t="str">
        <f t="shared" si="1"/>
        <v>G21</v>
      </c>
      <c r="H12" s="2" t="str">
        <f t="shared" si="1"/>
        <v>H21</v>
      </c>
      <c r="I12" s="2" t="str">
        <f t="shared" si="1"/>
        <v>I21</v>
      </c>
      <c r="J12" s="2" t="str">
        <f t="shared" si="1"/>
        <v>J21</v>
      </c>
      <c r="K12" s="2" t="str">
        <f t="shared" si="1"/>
        <v>K21</v>
      </c>
      <c r="L12" s="2" t="str">
        <f t="shared" si="1"/>
        <v>L21</v>
      </c>
      <c r="M12" s="2" t="str">
        <f t="shared" si="1"/>
        <v>M21</v>
      </c>
      <c r="N12" s="2" t="str">
        <f t="shared" si="1"/>
        <v>N21</v>
      </c>
      <c r="O12" s="2" t="str">
        <f t="shared" si="1"/>
        <v>O21</v>
      </c>
      <c r="P12" s="5"/>
      <c r="Q12" s="5"/>
      <c r="R12" s="5">
        <v>12</v>
      </c>
      <c r="S12" s="5" t="s">
        <v>92</v>
      </c>
      <c r="V12">
        <v>0.4</v>
      </c>
      <c r="W12">
        <f t="shared" ca="1" si="0"/>
        <v>6.9335642440913874E-3</v>
      </c>
    </row>
    <row r="13" spans="1:23" x14ac:dyDescent="0.2">
      <c r="A13" s="9">
        <f>20+COUNT(A21:A1449)</f>
        <v>68</v>
      </c>
      <c r="B13" s="5" t="s">
        <v>93</v>
      </c>
      <c r="C13" s="35">
        <f>A13</f>
        <v>68</v>
      </c>
      <c r="D13" s="2" t="str">
        <f>D$15&amp;$C13</f>
        <v>D68</v>
      </c>
      <c r="E13" s="2" t="str">
        <f t="shared" ref="E13:O13" si="2">E$15&amp;$C13</f>
        <v>E68</v>
      </c>
      <c r="F13" s="2" t="str">
        <f t="shared" si="2"/>
        <v>F68</v>
      </c>
      <c r="G13" s="2" t="str">
        <f t="shared" si="2"/>
        <v>G68</v>
      </c>
      <c r="H13" s="2" t="str">
        <f t="shared" si="2"/>
        <v>H68</v>
      </c>
      <c r="I13" s="2" t="str">
        <f t="shared" si="2"/>
        <v>I68</v>
      </c>
      <c r="J13" s="2" t="str">
        <f t="shared" si="2"/>
        <v>J68</v>
      </c>
      <c r="K13" s="2" t="str">
        <f t="shared" si="2"/>
        <v>K68</v>
      </c>
      <c r="L13" s="2" t="str">
        <f t="shared" si="2"/>
        <v>L68</v>
      </c>
      <c r="M13" s="2" t="str">
        <f t="shared" si="2"/>
        <v>M68</v>
      </c>
      <c r="N13" s="2" t="str">
        <f t="shared" si="2"/>
        <v>N68</v>
      </c>
      <c r="O13" s="2" t="str">
        <f t="shared" si="2"/>
        <v>O68</v>
      </c>
      <c r="P13" s="5"/>
      <c r="Q13" s="5"/>
      <c r="R13" s="5">
        <v>13</v>
      </c>
      <c r="S13" s="5" t="s">
        <v>94</v>
      </c>
      <c r="V13">
        <v>0.5</v>
      </c>
      <c r="W13">
        <f t="shared" ca="1" si="0"/>
        <v>8.1091933547385673E-3</v>
      </c>
    </row>
    <row r="14" spans="1:23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14</v>
      </c>
      <c r="S14" s="5" t="s">
        <v>95</v>
      </c>
      <c r="V14">
        <v>0.6</v>
      </c>
      <c r="W14">
        <f t="shared" ca="1" si="0"/>
        <v>9.4483629853526693E-3</v>
      </c>
    </row>
    <row r="15" spans="1:23" x14ac:dyDescent="0.2">
      <c r="A15" s="2"/>
      <c r="B15" s="5"/>
      <c r="C15" s="5"/>
      <c r="D15" s="2" t="str">
        <f t="shared" ref="D15:O15" si="3">VLOOKUP(D16,$R1:$S26,2,FALSE)</f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5"/>
      <c r="Q15" s="5"/>
      <c r="R15" s="5">
        <v>15</v>
      </c>
      <c r="S15" s="5" t="s">
        <v>96</v>
      </c>
      <c r="V15">
        <v>0.7</v>
      </c>
      <c r="W15">
        <f t="shared" ca="1" si="0"/>
        <v>1.0951073135933697E-2</v>
      </c>
    </row>
    <row r="16" spans="1:23" x14ac:dyDescent="0.2">
      <c r="A16" s="2"/>
      <c r="B16" s="5"/>
      <c r="C16" s="5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5"/>
      <c r="Q16" s="5"/>
      <c r="R16" s="5">
        <v>16</v>
      </c>
      <c r="S16" s="5" t="s">
        <v>97</v>
      </c>
      <c r="V16">
        <v>0.8</v>
      </c>
      <c r="W16">
        <f t="shared" ca="1" si="0"/>
        <v>1.261732380648165E-2</v>
      </c>
    </row>
    <row r="17" spans="1:23" x14ac:dyDescent="0.2">
      <c r="A17" s="6" t="s">
        <v>98</v>
      </c>
      <c r="B17" s="5"/>
      <c r="C17" s="5" t="s">
        <v>99</v>
      </c>
      <c r="D17" s="5">
        <f>C13-C12+1</f>
        <v>48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17</v>
      </c>
      <c r="S17" s="5" t="s">
        <v>100</v>
      </c>
      <c r="V17">
        <v>0.9</v>
      </c>
      <c r="W17">
        <f ca="1">+E$4+E$5*V17+E$6*V17^2</f>
        <v>1.4447114996996526E-2</v>
      </c>
    </row>
    <row r="18" spans="1:23" x14ac:dyDescent="0.2">
      <c r="A18" s="36">
        <v>10000</v>
      </c>
      <c r="B18" s="36">
        <v>1</v>
      </c>
      <c r="C18" s="5" t="s">
        <v>101</v>
      </c>
      <c r="D18" s="5">
        <f ca="1">SUM(INDIRECT(D12):INDIRECT(D13))</f>
        <v>23.387499999999999</v>
      </c>
      <c r="E18" s="5">
        <f ca="1">SUM(INDIRECT(E12):INDIRECT(E13))</f>
        <v>0.47697637340752408</v>
      </c>
      <c r="F18" s="5">
        <f ca="1">SUM(INDIRECT(F12):INDIRECT(F13))</f>
        <v>23.058817120000001</v>
      </c>
      <c r="G18" s="5">
        <f ca="1">SUM(INDIRECT(G12):INDIRECT(G13))</f>
        <v>19.967578666753003</v>
      </c>
      <c r="H18" s="5">
        <f ca="1">SUM(INDIRECT(H12):INDIRECT(H13))</f>
        <v>19.422086359559181</v>
      </c>
      <c r="I18" s="5">
        <f ca="1">SUM(INDIRECT(I12):INDIRECT(I13))</f>
        <v>0.35509095370737237</v>
      </c>
      <c r="J18" s="5">
        <f ca="1">SUM(INDIRECT(J12):INDIRECT(J13))</f>
        <v>0.33576753636520879</v>
      </c>
      <c r="K18" s="5"/>
      <c r="L18" s="5">
        <f ca="1">SUM(INDIRECT(L12):INDIRECT(L13))</f>
        <v>1.8152628720621177E-4</v>
      </c>
      <c r="M18" s="5">
        <f ca="1">SQRT(SUM(INDIRECT(M12):INDIRECT(M13)))</f>
        <v>222.97014736775535</v>
      </c>
      <c r="N18" s="5">
        <f ca="1">SQRT(SUM(INDIRECT(N12):INDIRECT(N13)))</f>
        <v>636.54773798032841</v>
      </c>
      <c r="O18" s="5">
        <f ca="1">SQRT(SUM(INDIRECT(O12):INDIRECT(O13)))</f>
        <v>752.55302654041134</v>
      </c>
      <c r="P18" s="5"/>
      <c r="Q18" s="5"/>
      <c r="R18" s="5">
        <v>18</v>
      </c>
      <c r="S18" s="5" t="s">
        <v>102</v>
      </c>
      <c r="V18">
        <v>1</v>
      </c>
      <c r="W18">
        <f ca="1">+E$4+E$5*V18+E$6*V18^2</f>
        <v>1.6440446707478323E-2</v>
      </c>
    </row>
    <row r="19" spans="1:23" x14ac:dyDescent="0.2">
      <c r="A19" s="37" t="s">
        <v>103</v>
      </c>
      <c r="B19" s="5"/>
      <c r="C19" s="5"/>
      <c r="D19" s="38" t="s">
        <v>104</v>
      </c>
      <c r="E19" s="38" t="s">
        <v>105</v>
      </c>
      <c r="F19" s="38" t="s">
        <v>106</v>
      </c>
      <c r="G19" s="38" t="s">
        <v>107</v>
      </c>
      <c r="H19" s="38" t="s">
        <v>108</v>
      </c>
      <c r="I19" s="38" t="s">
        <v>109</v>
      </c>
      <c r="J19" s="38" t="s">
        <v>110</v>
      </c>
      <c r="K19" s="39"/>
      <c r="L19" s="39"/>
      <c r="M19" s="39"/>
      <c r="N19" s="39"/>
      <c r="O19" s="39"/>
      <c r="P19" s="5"/>
      <c r="Q19" s="5"/>
      <c r="R19" s="5">
        <v>19</v>
      </c>
      <c r="S19" s="5" t="s">
        <v>111</v>
      </c>
      <c r="V19">
        <v>1.1000000000000001</v>
      </c>
      <c r="W19">
        <f ca="1">+E$4+E$5*V19+E$6*V19^2</f>
        <v>1.859731893792705E-2</v>
      </c>
    </row>
    <row r="20" spans="1:23" ht="15" thickBot="1" x14ac:dyDescent="0.25">
      <c r="A20" s="3" t="s">
        <v>112</v>
      </c>
      <c r="B20" s="3" t="s">
        <v>113</v>
      </c>
      <c r="C20" s="5"/>
      <c r="D20" s="3" t="s">
        <v>112</v>
      </c>
      <c r="E20" s="3" t="s">
        <v>113</v>
      </c>
      <c r="F20" s="3" t="s">
        <v>114</v>
      </c>
      <c r="G20" s="3" t="s">
        <v>115</v>
      </c>
      <c r="H20" s="3" t="s">
        <v>116</v>
      </c>
      <c r="I20" s="3" t="s">
        <v>117</v>
      </c>
      <c r="J20" s="3" t="s">
        <v>118</v>
      </c>
      <c r="K20" s="40" t="s">
        <v>49</v>
      </c>
      <c r="L20" s="3" t="s">
        <v>119</v>
      </c>
      <c r="M20" s="3" t="s">
        <v>120</v>
      </c>
      <c r="N20" s="3" t="s">
        <v>121</v>
      </c>
      <c r="O20" s="3" t="s">
        <v>122</v>
      </c>
      <c r="P20" s="12" t="s">
        <v>123</v>
      </c>
      <c r="Q20" s="5"/>
      <c r="R20" s="5">
        <v>20</v>
      </c>
      <c r="S20" s="5" t="s">
        <v>124</v>
      </c>
      <c r="V20">
        <v>1.2</v>
      </c>
      <c r="W20">
        <f ca="1">+E$4+E$5*V20+E$6*V20^2</f>
        <v>2.0917731688342697E-2</v>
      </c>
    </row>
    <row r="21" spans="1:23" x14ac:dyDescent="0.2">
      <c r="A21" s="41">
        <v>-4818.5</v>
      </c>
      <c r="B21" s="41">
        <v>8.2500000280560926E-4</v>
      </c>
      <c r="C21" s="5"/>
      <c r="D21" s="42">
        <f t="shared" ref="D21:E52" si="4">A21/A$18</f>
        <v>-0.48185</v>
      </c>
      <c r="E21" s="42">
        <f t="shared" si="4"/>
        <v>8.2500000280560926E-4</v>
      </c>
      <c r="F21" s="9">
        <f>D21*D21</f>
        <v>0.23217942250000001</v>
      </c>
      <c r="G21" s="9">
        <f>D21*F21</f>
        <v>-0.111875654731625</v>
      </c>
      <c r="H21" s="9">
        <f>F21*F21</f>
        <v>5.390728423243351E-2</v>
      </c>
      <c r="I21" s="9">
        <f>E21*D21</f>
        <v>-3.9752625135188282E-4</v>
      </c>
      <c r="J21" s="9">
        <f>I21*D21</f>
        <v>1.9154802421390474E-4</v>
      </c>
      <c r="K21" s="9">
        <f t="shared" ref="K21:K52" ca="1" si="5">+E$4+E$5*D21+E$6*D21^2</f>
        <v>3.6463112851547949E-3</v>
      </c>
      <c r="L21" s="9">
        <f ca="1">+(K21-E21)^2</f>
        <v>7.9597973519108067E-6</v>
      </c>
      <c r="M21" s="9">
        <f t="shared" ref="M21:M84" ca="1" si="6">(M$1-M$2*D21+M$3*F21)^2</f>
        <v>969.40054587786403</v>
      </c>
      <c r="N21" s="9">
        <f t="shared" ref="N21:N84" ca="1" si="7">(-M$2+M$4*D21-M$5*F21)^2</f>
        <v>80729.955107014102</v>
      </c>
      <c r="O21" s="9">
        <f t="shared" ref="O21:O84" ca="1" si="8">+(M$3-D21*M$5+F21*M$6)^2</f>
        <v>71416.185604854851</v>
      </c>
      <c r="P21" s="5">
        <f ca="1">+E21-K21</f>
        <v>-2.8213112823491857E-3</v>
      </c>
      <c r="Q21" s="5"/>
      <c r="R21" s="5">
        <v>21</v>
      </c>
      <c r="S21" s="5" t="s">
        <v>125</v>
      </c>
      <c r="V21">
        <v>1.3</v>
      </c>
      <c r="W21">
        <f ca="1">+E$4+E$5*V21+E$6*V21^2</f>
        <v>2.3401684958725272E-2</v>
      </c>
    </row>
    <row r="22" spans="1:23" x14ac:dyDescent="0.2">
      <c r="A22" s="41">
        <v>-4818</v>
      </c>
      <c r="B22" s="41">
        <v>-6.9999999686842784E-4</v>
      </c>
      <c r="C22" s="5"/>
      <c r="D22" s="42">
        <f t="shared" si="4"/>
        <v>-0.48180000000000001</v>
      </c>
      <c r="E22" s="42">
        <f t="shared" si="4"/>
        <v>-6.9999999686842784E-4</v>
      </c>
      <c r="F22" s="9">
        <f t="shared" ref="F22:F85" si="9">D22*D22</f>
        <v>0.23213124000000002</v>
      </c>
      <c r="G22" s="9">
        <f t="shared" ref="G22:G85" si="10">D22*F22</f>
        <v>-0.11184083143200001</v>
      </c>
      <c r="H22" s="9">
        <f t="shared" ref="H22:H85" si="11">F22*F22</f>
        <v>5.3884912583937607E-2</v>
      </c>
      <c r="I22" s="9">
        <f t="shared" ref="I22:I85" si="12">E22*D22</f>
        <v>3.3725999849120852E-4</v>
      </c>
      <c r="J22" s="9">
        <f t="shared" ref="J22:J85" si="13">I22*D22</f>
        <v>-1.6249186727306428E-4</v>
      </c>
      <c r="K22" s="9">
        <f t="shared" ca="1" si="5"/>
        <v>3.6461371439850277E-3</v>
      </c>
      <c r="L22" s="9">
        <f t="shared" ref="L22:L85" ca="1" si="14">+(K22-E22)^2</f>
        <v>1.888890804710585E-5</v>
      </c>
      <c r="M22" s="9">
        <f t="shared" ca="1" si="6"/>
        <v>969.61401907300592</v>
      </c>
      <c r="N22" s="9">
        <f t="shared" ca="1" si="7"/>
        <v>80707.099291307852</v>
      </c>
      <c r="O22" s="9">
        <f t="shared" ca="1" si="8"/>
        <v>71390.569037269976</v>
      </c>
      <c r="P22" s="5">
        <f t="shared" ref="P22:P85" ca="1" si="15">+E22-K22</f>
        <v>-4.3461371408534556E-3</v>
      </c>
      <c r="Q22" s="5"/>
      <c r="R22" s="5">
        <v>22</v>
      </c>
      <c r="S22" s="5" t="s">
        <v>126</v>
      </c>
    </row>
    <row r="23" spans="1:23" x14ac:dyDescent="0.2">
      <c r="A23" s="41">
        <v>-2166</v>
      </c>
      <c r="B23" s="41">
        <v>2.7000000045518391E-3</v>
      </c>
      <c r="C23" s="5"/>
      <c r="D23" s="42">
        <f t="shared" si="4"/>
        <v>-0.21659999999999999</v>
      </c>
      <c r="E23" s="42">
        <f t="shared" si="4"/>
        <v>2.7000000045518391E-3</v>
      </c>
      <c r="F23" s="9">
        <f t="shared" si="9"/>
        <v>4.6915559999999995E-2</v>
      </c>
      <c r="G23" s="9">
        <f t="shared" si="10"/>
        <v>-1.0161910295999999E-2</v>
      </c>
      <c r="H23" s="9">
        <f t="shared" si="11"/>
        <v>2.2010697701135996E-3</v>
      </c>
      <c r="I23" s="9">
        <f t="shared" si="12"/>
        <v>-5.8482000098592835E-4</v>
      </c>
      <c r="J23" s="9">
        <f t="shared" si="13"/>
        <v>1.2667201221355207E-4</v>
      </c>
      <c r="K23" s="9">
        <f t="shared" ca="1" si="5"/>
        <v>3.2976995494747026E-3</v>
      </c>
      <c r="L23" s="9">
        <f t="shared" ca="1" si="14"/>
        <v>3.5724474600099812E-7</v>
      </c>
      <c r="M23" s="9">
        <f t="shared" ca="1" si="6"/>
        <v>2004.184495969718</v>
      </c>
      <c r="N23" s="9">
        <f t="shared" ca="1" si="7"/>
        <v>10045.971066193037</v>
      </c>
      <c r="O23" s="9">
        <f t="shared" ca="1" si="8"/>
        <v>2739.2041913254125</v>
      </c>
      <c r="P23" s="5">
        <f t="shared" ca="1" si="15"/>
        <v>-5.9769954492286349E-4</v>
      </c>
      <c r="Q23" s="5"/>
      <c r="R23" s="5">
        <v>23</v>
      </c>
      <c r="S23" s="5" t="s">
        <v>127</v>
      </c>
    </row>
    <row r="24" spans="1:23" x14ac:dyDescent="0.2">
      <c r="A24" s="41">
        <v>-2166</v>
      </c>
      <c r="B24" s="41">
        <v>5.0000000046566129E-3</v>
      </c>
      <c r="C24" s="5"/>
      <c r="D24" s="42">
        <f t="shared" si="4"/>
        <v>-0.21659999999999999</v>
      </c>
      <c r="E24" s="42">
        <f t="shared" si="4"/>
        <v>5.0000000046566129E-3</v>
      </c>
      <c r="F24" s="9">
        <f t="shared" si="9"/>
        <v>4.6915559999999995E-2</v>
      </c>
      <c r="G24" s="9">
        <f t="shared" si="10"/>
        <v>-1.0161910295999999E-2</v>
      </c>
      <c r="H24" s="9">
        <f t="shared" si="11"/>
        <v>2.2010697701135996E-3</v>
      </c>
      <c r="I24" s="9">
        <f t="shared" si="12"/>
        <v>-1.0830000010086222E-3</v>
      </c>
      <c r="J24" s="9">
        <f t="shared" si="13"/>
        <v>2.3457780021846755E-4</v>
      </c>
      <c r="K24" s="9">
        <f t="shared" ca="1" si="5"/>
        <v>3.2976995494747026E-3</v>
      </c>
      <c r="L24" s="9">
        <f t="shared" ca="1" si="14"/>
        <v>2.897826839712539E-6</v>
      </c>
      <c r="M24" s="9">
        <f t="shared" ca="1" si="6"/>
        <v>2004.184495969718</v>
      </c>
      <c r="N24" s="9">
        <f t="shared" ca="1" si="7"/>
        <v>10045.971066193037</v>
      </c>
      <c r="O24" s="9">
        <f t="shared" ca="1" si="8"/>
        <v>2739.2041913254125</v>
      </c>
      <c r="P24" s="5">
        <f t="shared" ca="1" si="15"/>
        <v>1.7023004551819103E-3</v>
      </c>
      <c r="Q24" s="5"/>
      <c r="R24" s="5">
        <v>24</v>
      </c>
      <c r="S24" s="5" t="s">
        <v>112</v>
      </c>
    </row>
    <row r="25" spans="1:23" x14ac:dyDescent="0.2">
      <c r="A25" s="41">
        <v>-2165.5</v>
      </c>
      <c r="B25" s="41">
        <v>6.0750000047846697E-3</v>
      </c>
      <c r="C25" s="5"/>
      <c r="D25" s="42">
        <f t="shared" si="4"/>
        <v>-0.21654999999999999</v>
      </c>
      <c r="E25" s="42">
        <f t="shared" si="4"/>
        <v>6.0750000047846697E-3</v>
      </c>
      <c r="F25" s="9">
        <f t="shared" si="9"/>
        <v>4.6893902499999994E-2</v>
      </c>
      <c r="G25" s="9">
        <f t="shared" si="10"/>
        <v>-1.0154874586374998E-2</v>
      </c>
      <c r="H25" s="9">
        <f t="shared" si="11"/>
        <v>2.1990380916795055E-3</v>
      </c>
      <c r="I25" s="9">
        <f t="shared" si="12"/>
        <v>-1.3155412510361202E-3</v>
      </c>
      <c r="J25" s="9">
        <f t="shared" si="13"/>
        <v>2.8488045791187183E-4</v>
      </c>
      <c r="K25" s="9">
        <f t="shared" ca="1" si="5"/>
        <v>3.2977423039195408E-3</v>
      </c>
      <c r="L25" s="9">
        <f t="shared" ca="1" si="14"/>
        <v>7.7131603370146618E-6</v>
      </c>
      <c r="M25" s="9">
        <f t="shared" ca="1" si="6"/>
        <v>2004.3377267353324</v>
      </c>
      <c r="N25" s="9">
        <f t="shared" ca="1" si="7"/>
        <v>10040.137464732336</v>
      </c>
      <c r="O25" s="9">
        <f t="shared" ca="1" si="8"/>
        <v>2735.7423609354714</v>
      </c>
      <c r="P25" s="5">
        <f t="shared" ca="1" si="15"/>
        <v>2.7772577008651289E-3</v>
      </c>
      <c r="Q25" s="5"/>
      <c r="R25" s="5">
        <v>25</v>
      </c>
      <c r="S25" s="5" t="s">
        <v>113</v>
      </c>
    </row>
    <row r="26" spans="1:23" x14ac:dyDescent="0.2">
      <c r="A26" s="41">
        <v>-2159</v>
      </c>
      <c r="B26" s="41">
        <v>4.8500000048079528E-3</v>
      </c>
      <c r="C26" s="5"/>
      <c r="D26" s="42">
        <f t="shared" si="4"/>
        <v>-0.21590000000000001</v>
      </c>
      <c r="E26" s="42">
        <f t="shared" si="4"/>
        <v>4.8500000048079528E-3</v>
      </c>
      <c r="F26" s="9">
        <f t="shared" si="9"/>
        <v>4.6612810000000005E-2</v>
      </c>
      <c r="G26" s="9">
        <f t="shared" si="10"/>
        <v>-1.0063705679000001E-2</v>
      </c>
      <c r="H26" s="9">
        <f t="shared" si="11"/>
        <v>2.1727540560961003E-3</v>
      </c>
      <c r="I26" s="9">
        <f t="shared" si="12"/>
        <v>-1.047115001038037E-3</v>
      </c>
      <c r="J26" s="9">
        <f t="shared" si="13"/>
        <v>2.2607212872411219E-4</v>
      </c>
      <c r="K26" s="9">
        <f t="shared" ca="1" si="5"/>
        <v>3.2983018322492751E-3</v>
      </c>
      <c r="L26" s="9">
        <f t="shared" ca="1" si="14"/>
        <v>2.4077672187219397E-6</v>
      </c>
      <c r="M26" s="9">
        <f t="shared" ca="1" si="6"/>
        <v>2006.3276217875998</v>
      </c>
      <c r="N26" s="9">
        <f t="shared" ca="1" si="7"/>
        <v>9964.4928979253382</v>
      </c>
      <c r="O26" s="9">
        <f t="shared" ca="1" si="8"/>
        <v>2690.9641864415235</v>
      </c>
      <c r="P26" s="5">
        <f t="shared" ca="1" si="15"/>
        <v>1.5516981725586776E-3</v>
      </c>
      <c r="Q26" s="5"/>
      <c r="R26" s="5">
        <v>26</v>
      </c>
      <c r="S26" s="5" t="s">
        <v>128</v>
      </c>
    </row>
    <row r="27" spans="1:23" x14ac:dyDescent="0.2">
      <c r="A27" s="41">
        <v>-2135.5</v>
      </c>
      <c r="B27" s="41">
        <v>5.6750000003376044E-3</v>
      </c>
      <c r="C27" s="5"/>
      <c r="D27" s="42">
        <f t="shared" si="4"/>
        <v>-0.21354999999999999</v>
      </c>
      <c r="E27" s="42">
        <f t="shared" si="4"/>
        <v>5.6750000003376044E-3</v>
      </c>
      <c r="F27" s="9">
        <f t="shared" si="9"/>
        <v>4.5603602499999993E-2</v>
      </c>
      <c r="G27" s="9">
        <f t="shared" si="10"/>
        <v>-9.7386493138749974E-3</v>
      </c>
      <c r="H27" s="9">
        <f t="shared" si="11"/>
        <v>2.0796885609780055E-3</v>
      </c>
      <c r="I27" s="9">
        <f t="shared" si="12"/>
        <v>-1.2118962500720955E-3</v>
      </c>
      <c r="J27" s="9">
        <f t="shared" si="13"/>
        <v>2.5880044420289599E-4</v>
      </c>
      <c r="K27" s="9">
        <f t="shared" ca="1" si="5"/>
        <v>3.3003823903977559E-3</v>
      </c>
      <c r="L27" s="9">
        <f t="shared" ca="1" si="14"/>
        <v>5.6388087934364381E-6</v>
      </c>
      <c r="M27" s="9">
        <f t="shared" ca="1" si="6"/>
        <v>2013.4891484237744</v>
      </c>
      <c r="N27" s="9">
        <f t="shared" ca="1" si="7"/>
        <v>9693.9770683606584</v>
      </c>
      <c r="O27" s="9">
        <f t="shared" ca="1" si="8"/>
        <v>2532.5538372957544</v>
      </c>
      <c r="P27" s="5">
        <f t="shared" ca="1" si="15"/>
        <v>2.3746176099398485E-3</v>
      </c>
      <c r="Q27" s="5"/>
      <c r="R27" s="5"/>
      <c r="S27" s="5"/>
    </row>
    <row r="28" spans="1:23" x14ac:dyDescent="0.2">
      <c r="A28" s="41">
        <v>-2109</v>
      </c>
      <c r="B28" s="41">
        <v>3.3499999990453944E-3</v>
      </c>
      <c r="C28" s="5"/>
      <c r="D28" s="42">
        <f t="shared" si="4"/>
        <v>-0.2109</v>
      </c>
      <c r="E28" s="42">
        <f t="shared" si="4"/>
        <v>3.3499999990453944E-3</v>
      </c>
      <c r="F28" s="9">
        <f t="shared" si="9"/>
        <v>4.4478810000000001E-2</v>
      </c>
      <c r="G28" s="9">
        <f t="shared" si="10"/>
        <v>-9.380581029000001E-3</v>
      </c>
      <c r="H28" s="9">
        <f t="shared" si="11"/>
        <v>1.9783645390161002E-3</v>
      </c>
      <c r="I28" s="9">
        <f t="shared" si="12"/>
        <v>-7.0651499979867364E-4</v>
      </c>
      <c r="J28" s="9">
        <f t="shared" si="13"/>
        <v>1.4900401345754028E-4</v>
      </c>
      <c r="K28" s="9">
        <f t="shared" ca="1" si="5"/>
        <v>3.3028368973086054E-3</v>
      </c>
      <c r="L28" s="9">
        <f t="shared" ca="1" si="14"/>
        <v>2.2243581654347036E-9</v>
      </c>
      <c r="M28" s="9">
        <f t="shared" ca="1" si="6"/>
        <v>2021.5031088305991</v>
      </c>
      <c r="N28" s="9">
        <f t="shared" ca="1" si="7"/>
        <v>9394.4697527434855</v>
      </c>
      <c r="O28" s="9">
        <f t="shared" ca="1" si="8"/>
        <v>2360.4060256829989</v>
      </c>
      <c r="P28" s="5">
        <f t="shared" ca="1" si="15"/>
        <v>4.7163101736788938E-5</v>
      </c>
      <c r="Q28" s="5"/>
      <c r="R28" s="5"/>
      <c r="S28" s="5"/>
    </row>
    <row r="29" spans="1:23" x14ac:dyDescent="0.2">
      <c r="A29" s="41">
        <v>-2108.5</v>
      </c>
      <c r="B29" s="41">
        <v>6.9250000015017577E-3</v>
      </c>
      <c r="C29" s="5"/>
      <c r="D29" s="42">
        <f t="shared" si="4"/>
        <v>-0.21085000000000001</v>
      </c>
      <c r="E29" s="42">
        <f t="shared" si="4"/>
        <v>6.9250000015017577E-3</v>
      </c>
      <c r="F29" s="9">
        <f t="shared" si="9"/>
        <v>4.4457722500000005E-2</v>
      </c>
      <c r="G29" s="9">
        <f t="shared" si="10"/>
        <v>-9.3739107891250006E-3</v>
      </c>
      <c r="H29" s="9">
        <f t="shared" si="11"/>
        <v>1.9764890898870068E-3</v>
      </c>
      <c r="I29" s="9">
        <f t="shared" si="12"/>
        <v>-1.4601362503166456E-3</v>
      </c>
      <c r="J29" s="9">
        <f t="shared" si="13"/>
        <v>3.0786972837926473E-4</v>
      </c>
      <c r="K29" s="9">
        <f t="shared" ca="1" si="5"/>
        <v>3.3028843126582633E-3</v>
      </c>
      <c r="L29" s="9">
        <f t="shared" ca="1" si="14"/>
        <v>1.3119722063366182E-5</v>
      </c>
      <c r="M29" s="9">
        <f t="shared" ca="1" si="6"/>
        <v>2021.6536829557911</v>
      </c>
      <c r="N29" s="9">
        <f t="shared" ca="1" si="7"/>
        <v>9388.8748106810926</v>
      </c>
      <c r="O29" s="9">
        <f t="shared" ca="1" si="8"/>
        <v>2357.2235268803861</v>
      </c>
      <c r="P29" s="5">
        <f t="shared" ca="1" si="15"/>
        <v>3.6221156888434944E-3</v>
      </c>
      <c r="Q29" s="5"/>
      <c r="R29" s="5"/>
      <c r="S29" s="5"/>
    </row>
    <row r="30" spans="1:23" x14ac:dyDescent="0.2">
      <c r="A30" s="41">
        <v>-2102</v>
      </c>
      <c r="B30" s="41">
        <v>6.100000005972106E-3</v>
      </c>
      <c r="C30" s="5"/>
      <c r="D30" s="42">
        <f t="shared" si="4"/>
        <v>-0.2102</v>
      </c>
      <c r="E30" s="42">
        <f t="shared" si="4"/>
        <v>6.100000005972106E-3</v>
      </c>
      <c r="F30" s="9">
        <f t="shared" si="9"/>
        <v>4.4184040000000001E-2</v>
      </c>
      <c r="G30" s="9">
        <f t="shared" si="10"/>
        <v>-9.2874852080000007E-3</v>
      </c>
      <c r="H30" s="9">
        <f t="shared" si="11"/>
        <v>1.9522293907216E-3</v>
      </c>
      <c r="I30" s="9">
        <f t="shared" si="12"/>
        <v>-1.2822200012553367E-3</v>
      </c>
      <c r="J30" s="9">
        <f t="shared" si="13"/>
        <v>2.6952264426387176E-4</v>
      </c>
      <c r="K30" s="9">
        <f t="shared" ca="1" si="5"/>
        <v>3.3035044327506449E-3</v>
      </c>
      <c r="L30" s="9">
        <f t="shared" ca="1" si="14"/>
        <v>7.820387491047229E-6</v>
      </c>
      <c r="M30" s="9">
        <f t="shared" ca="1" si="6"/>
        <v>2023.6090076145481</v>
      </c>
      <c r="N30" s="9">
        <f t="shared" ca="1" si="7"/>
        <v>9316.3290360745559</v>
      </c>
      <c r="O30" s="9">
        <f t="shared" ca="1" si="8"/>
        <v>2316.0709288235284</v>
      </c>
      <c r="P30" s="5">
        <f t="shared" ca="1" si="15"/>
        <v>2.7964955732214612E-3</v>
      </c>
      <c r="Q30" s="5"/>
      <c r="R30" s="5"/>
      <c r="S30" s="5"/>
    </row>
    <row r="31" spans="1:23" x14ac:dyDescent="0.2">
      <c r="A31" s="41">
        <v>-975</v>
      </c>
      <c r="B31" s="41">
        <v>6.3500000032945536E-3</v>
      </c>
      <c r="C31" s="5"/>
      <c r="D31" s="42">
        <f t="shared" si="4"/>
        <v>-9.7500000000000003E-2</v>
      </c>
      <c r="E31" s="42">
        <f t="shared" si="4"/>
        <v>6.3500000032945536E-3</v>
      </c>
      <c r="F31" s="9">
        <f t="shared" si="9"/>
        <v>9.5062500000000008E-3</v>
      </c>
      <c r="G31" s="9">
        <f t="shared" si="10"/>
        <v>-9.2685937500000006E-4</v>
      </c>
      <c r="H31" s="9">
        <f t="shared" si="11"/>
        <v>9.0368789062500018E-5</v>
      </c>
      <c r="I31" s="9">
        <f t="shared" si="12"/>
        <v>-6.1912500032121896E-4</v>
      </c>
      <c r="J31" s="9">
        <f t="shared" si="13"/>
        <v>6.0364687531318851E-5</v>
      </c>
      <c r="K31" s="9">
        <f t="shared" ca="1" si="5"/>
        <v>3.5154815030425703E-3</v>
      </c>
      <c r="L31" s="9">
        <f t="shared" ca="1" si="14"/>
        <v>8.0344951282707532E-6</v>
      </c>
      <c r="M31" s="9">
        <f t="shared" ca="1" si="6"/>
        <v>2296.9913421773795</v>
      </c>
      <c r="N31" s="9">
        <f t="shared" ca="1" si="7"/>
        <v>1357.4531301577244</v>
      </c>
      <c r="O31" s="9">
        <f t="shared" ca="1" si="8"/>
        <v>343.27067956515498</v>
      </c>
      <c r="P31" s="5">
        <f t="shared" ca="1" si="15"/>
        <v>2.8345185002519833E-3</v>
      </c>
      <c r="Q31" s="5"/>
      <c r="R31" s="5"/>
      <c r="S31" s="5"/>
    </row>
    <row r="32" spans="1:23" x14ac:dyDescent="0.2">
      <c r="A32" s="41">
        <v>0</v>
      </c>
      <c r="B32" s="41">
        <v>0</v>
      </c>
      <c r="C32" s="5"/>
      <c r="D32" s="42">
        <f t="shared" si="4"/>
        <v>0</v>
      </c>
      <c r="E32" s="42">
        <f t="shared" si="4"/>
        <v>0</v>
      </c>
      <c r="F32" s="9">
        <f t="shared" si="9"/>
        <v>0</v>
      </c>
      <c r="G32" s="9">
        <f t="shared" si="10"/>
        <v>0</v>
      </c>
      <c r="H32" s="9">
        <f t="shared" si="11"/>
        <v>0</v>
      </c>
      <c r="I32" s="9">
        <f t="shared" si="12"/>
        <v>0</v>
      </c>
      <c r="J32" s="9">
        <f t="shared" si="13"/>
        <v>0</v>
      </c>
      <c r="K32" s="9">
        <f t="shared" ca="1" si="5"/>
        <v>3.8664530011719117E-3</v>
      </c>
      <c r="L32" s="9">
        <f t="shared" ca="1" si="14"/>
        <v>1.4949458810271284E-5</v>
      </c>
      <c r="M32" s="9">
        <f t="shared" ca="1" si="6"/>
        <v>2415.3430416079664</v>
      </c>
      <c r="N32" s="9">
        <f t="shared" ca="1" si="7"/>
        <v>38.374308978079455</v>
      </c>
      <c r="O32" s="9">
        <f t="shared" ca="1" si="8"/>
        <v>4188.3290364178738</v>
      </c>
      <c r="P32" s="5">
        <f t="shared" ca="1" si="15"/>
        <v>-3.8664530011719117E-3</v>
      </c>
      <c r="Q32" s="5"/>
      <c r="R32" s="5"/>
      <c r="S32" s="5"/>
    </row>
    <row r="33" spans="1:19" x14ac:dyDescent="0.2">
      <c r="A33" s="41">
        <v>209.5</v>
      </c>
      <c r="B33" s="41">
        <v>4.1250000067520887E-3</v>
      </c>
      <c r="C33" s="5"/>
      <c r="D33" s="42">
        <f t="shared" si="4"/>
        <v>2.095E-2</v>
      </c>
      <c r="E33" s="42">
        <f t="shared" si="4"/>
        <v>4.1250000067520887E-3</v>
      </c>
      <c r="F33" s="9">
        <f t="shared" si="9"/>
        <v>4.3890249999999997E-4</v>
      </c>
      <c r="G33" s="9">
        <f t="shared" si="10"/>
        <v>9.1950073750000002E-6</v>
      </c>
      <c r="H33" s="9">
        <f t="shared" si="11"/>
        <v>1.9263540450624998E-7</v>
      </c>
      <c r="I33" s="9">
        <f t="shared" si="12"/>
        <v>8.6418750141456261E-5</v>
      </c>
      <c r="J33" s="9">
        <f t="shared" si="13"/>
        <v>1.8104728154635087E-6</v>
      </c>
      <c r="K33" s="9">
        <f t="shared" ca="1" si="5"/>
        <v>3.9621583918069171E-3</v>
      </c>
      <c r="L33" s="9">
        <f t="shared" ca="1" si="14"/>
        <v>2.6517391557951519E-8</v>
      </c>
      <c r="M33" s="9">
        <f t="shared" ca="1" si="6"/>
        <v>2425.3176373759866</v>
      </c>
      <c r="N33" s="9">
        <f t="shared" ca="1" si="7"/>
        <v>207.42558567262321</v>
      </c>
      <c r="O33" s="9">
        <f t="shared" ca="1" si="8"/>
        <v>5365.9864658424021</v>
      </c>
      <c r="P33" s="5">
        <f t="shared" ca="1" si="15"/>
        <v>1.6284161494517155E-4</v>
      </c>
      <c r="Q33" s="5"/>
      <c r="R33" s="5"/>
      <c r="S33" s="5"/>
    </row>
    <row r="34" spans="1:19" x14ac:dyDescent="0.2">
      <c r="A34" s="41">
        <v>1726</v>
      </c>
      <c r="B34" s="41">
        <v>3.7000000011175871E-3</v>
      </c>
      <c r="C34" s="5"/>
      <c r="D34" s="42">
        <f t="shared" si="4"/>
        <v>0.1726</v>
      </c>
      <c r="E34" s="42">
        <f t="shared" si="4"/>
        <v>3.7000000011175871E-3</v>
      </c>
      <c r="F34" s="9">
        <f t="shared" si="9"/>
        <v>2.9790759999999999E-2</v>
      </c>
      <c r="G34" s="9">
        <f t="shared" si="10"/>
        <v>5.1418851759999998E-3</v>
      </c>
      <c r="H34" s="9">
        <f t="shared" si="11"/>
        <v>8.8748938137759995E-4</v>
      </c>
      <c r="I34" s="9">
        <f t="shared" si="12"/>
        <v>6.3862000019289551E-4</v>
      </c>
      <c r="J34" s="9">
        <f t="shared" si="13"/>
        <v>1.1022581203329377E-4</v>
      </c>
      <c r="K34" s="9">
        <f t="shared" ca="1" si="5"/>
        <v>4.8689694465963353E-3</v>
      </c>
      <c r="L34" s="9">
        <f t="shared" ca="1" si="14"/>
        <v>1.3664895644628921E-6</v>
      </c>
      <c r="M34" s="9">
        <f t="shared" ca="1" si="6"/>
        <v>2331.6698402067109</v>
      </c>
      <c r="N34" s="9">
        <f t="shared" ca="1" si="7"/>
        <v>3949.2241799806111</v>
      </c>
      <c r="O34" s="9">
        <f t="shared" ca="1" si="8"/>
        <v>14492.614135418833</v>
      </c>
      <c r="P34" s="5">
        <f t="shared" ca="1" si="15"/>
        <v>-1.1689694454787482E-3</v>
      </c>
      <c r="Q34" s="5"/>
      <c r="R34" s="5"/>
      <c r="S34" s="5"/>
    </row>
    <row r="35" spans="1:19" x14ac:dyDescent="0.2">
      <c r="A35" s="41">
        <v>1726.5</v>
      </c>
      <c r="B35" s="41">
        <v>2.8750000055879354E-3</v>
      </c>
      <c r="C35" s="5"/>
      <c r="D35" s="42">
        <f t="shared" si="4"/>
        <v>0.17265</v>
      </c>
      <c r="E35" s="42">
        <f t="shared" si="4"/>
        <v>2.8750000055879354E-3</v>
      </c>
      <c r="F35" s="9">
        <f t="shared" si="9"/>
        <v>2.98080225E-2</v>
      </c>
      <c r="G35" s="9">
        <f t="shared" si="10"/>
        <v>5.1463550846249997E-3</v>
      </c>
      <c r="H35" s="9">
        <f t="shared" si="11"/>
        <v>8.8851820536050619E-4</v>
      </c>
      <c r="I35" s="9">
        <f t="shared" si="12"/>
        <v>4.9636875096475703E-4</v>
      </c>
      <c r="J35" s="9">
        <f t="shared" si="13"/>
        <v>8.5698064854065306E-5</v>
      </c>
      <c r="K35" s="9">
        <f t="shared" ca="1" si="5"/>
        <v>4.8693304508930302E-3</v>
      </c>
      <c r="L35" s="9">
        <f t="shared" ca="1" si="14"/>
        <v>3.9773539250708177E-6</v>
      </c>
      <c r="M35" s="9">
        <f t="shared" ca="1" si="6"/>
        <v>2331.5918618400151</v>
      </c>
      <c r="N35" s="9">
        <f t="shared" ca="1" si="7"/>
        <v>3950.8321000585565</v>
      </c>
      <c r="O35" s="9">
        <f t="shared" ca="1" si="8"/>
        <v>14495.333382818517</v>
      </c>
      <c r="P35" s="5">
        <f t="shared" ca="1" si="15"/>
        <v>-1.9943304453050948E-3</v>
      </c>
      <c r="Q35" s="5"/>
      <c r="R35" s="5"/>
      <c r="S35" s="5"/>
    </row>
    <row r="36" spans="1:19" x14ac:dyDescent="0.2">
      <c r="A36" s="41">
        <v>2897</v>
      </c>
      <c r="B36" s="41">
        <v>3.9499999984400347E-3</v>
      </c>
      <c r="C36" s="5"/>
      <c r="D36" s="42">
        <f t="shared" si="4"/>
        <v>0.28970000000000001</v>
      </c>
      <c r="E36" s="42">
        <f t="shared" si="4"/>
        <v>3.9499999984400347E-3</v>
      </c>
      <c r="F36" s="9">
        <f t="shared" si="9"/>
        <v>8.3926090000000009E-2</v>
      </c>
      <c r="G36" s="9">
        <f t="shared" si="10"/>
        <v>2.4313388273000003E-2</v>
      </c>
      <c r="H36" s="9">
        <f t="shared" si="11"/>
        <v>7.0435885826881017E-3</v>
      </c>
      <c r="I36" s="9">
        <f t="shared" si="12"/>
        <v>1.144314999548078E-3</v>
      </c>
      <c r="J36" s="9">
        <f t="shared" si="13"/>
        <v>3.3150805536907819E-4</v>
      </c>
      <c r="K36" s="9">
        <f t="shared" ca="1" si="5"/>
        <v>5.8265203660375275E-3</v>
      </c>
      <c r="L36" s="9">
        <f t="shared" ca="1" si="14"/>
        <v>3.5213286900082295E-6</v>
      </c>
      <c r="M36" s="9">
        <f t="shared" ca="1" si="6"/>
        <v>2071.0940410701014</v>
      </c>
      <c r="N36" s="9">
        <f t="shared" ca="1" si="7"/>
        <v>7578.7915399797157</v>
      </c>
      <c r="O36" s="9">
        <f t="shared" ca="1" si="8"/>
        <v>19365.740876400225</v>
      </c>
      <c r="P36" s="5">
        <f t="shared" ca="1" si="15"/>
        <v>-1.8765203675974928E-3</v>
      </c>
      <c r="Q36" s="5"/>
      <c r="R36" s="5"/>
      <c r="S36" s="5"/>
    </row>
    <row r="37" spans="1:19" x14ac:dyDescent="0.2">
      <c r="A37" s="41">
        <v>3061</v>
      </c>
      <c r="B37" s="41">
        <v>4.7500000000582077E-3</v>
      </c>
      <c r="C37" s="5"/>
      <c r="D37" s="42">
        <f t="shared" si="4"/>
        <v>0.30609999999999998</v>
      </c>
      <c r="E37" s="42">
        <f t="shared" si="4"/>
        <v>4.7500000000582077E-3</v>
      </c>
      <c r="F37" s="9">
        <f t="shared" si="9"/>
        <v>9.3697209999999989E-2</v>
      </c>
      <c r="G37" s="9">
        <f t="shared" si="10"/>
        <v>2.8680715980999996E-2</v>
      </c>
      <c r="H37" s="9">
        <f t="shared" si="11"/>
        <v>8.7791671617840975E-3</v>
      </c>
      <c r="I37" s="9">
        <f t="shared" si="12"/>
        <v>1.4539750000178173E-3</v>
      </c>
      <c r="J37" s="9">
        <f t="shared" si="13"/>
        <v>4.4506174750545382E-4</v>
      </c>
      <c r="K37" s="9">
        <f t="shared" ca="1" si="5"/>
        <v>5.9785293387210354E-3</v>
      </c>
      <c r="L37" s="9">
        <f t="shared" ca="1" si="14"/>
        <v>1.5092843359553248E-6</v>
      </c>
      <c r="M37" s="9">
        <f t="shared" ca="1" si="6"/>
        <v>2023.0660739011653</v>
      </c>
      <c r="N37" s="9">
        <f t="shared" ca="1" si="7"/>
        <v>8015.5622563452662</v>
      </c>
      <c r="O37" s="9">
        <f t="shared" ca="1" si="8"/>
        <v>19758.422527221886</v>
      </c>
      <c r="P37" s="5">
        <f t="shared" ca="1" si="15"/>
        <v>-1.2285293386628277E-3</v>
      </c>
      <c r="Q37" s="5"/>
      <c r="R37" s="5"/>
      <c r="S37" s="5"/>
    </row>
    <row r="38" spans="1:19" x14ac:dyDescent="0.2">
      <c r="A38" s="41">
        <v>4078</v>
      </c>
      <c r="B38" s="41">
        <v>7.100000002537854E-3</v>
      </c>
      <c r="C38" s="5"/>
      <c r="D38" s="42">
        <f t="shared" si="4"/>
        <v>0.4078</v>
      </c>
      <c r="E38" s="42">
        <f t="shared" si="4"/>
        <v>7.100000002537854E-3</v>
      </c>
      <c r="F38" s="9">
        <f t="shared" si="9"/>
        <v>0.16630084000000001</v>
      </c>
      <c r="G38" s="9">
        <f t="shared" si="10"/>
        <v>6.7817482552E-2</v>
      </c>
      <c r="H38" s="9">
        <f t="shared" si="11"/>
        <v>2.7655969384705603E-2</v>
      </c>
      <c r="I38" s="9">
        <f t="shared" si="12"/>
        <v>2.8953800010349368E-3</v>
      </c>
      <c r="J38" s="9">
        <f t="shared" si="13"/>
        <v>1.1807359644220472E-3</v>
      </c>
      <c r="K38" s="9">
        <f t="shared" ca="1" si="5"/>
        <v>7.0193827247048961E-3</v>
      </c>
      <c r="L38" s="9">
        <f t="shared" ca="1" si="14"/>
        <v>6.49914548519632E-9</v>
      </c>
      <c r="M38" s="9">
        <f t="shared" ca="1" si="6"/>
        <v>1673.611476439725</v>
      </c>
      <c r="N38" s="9">
        <f t="shared" ca="1" si="7"/>
        <v>9966.7266267076538</v>
      </c>
      <c r="O38" s="9">
        <f t="shared" ca="1" si="8"/>
        <v>20319.301667716816</v>
      </c>
      <c r="P38" s="5">
        <f t="shared" ca="1" si="15"/>
        <v>8.061727783295787E-5</v>
      </c>
      <c r="Q38" s="5"/>
      <c r="R38" s="5"/>
      <c r="S38" s="5"/>
    </row>
    <row r="39" spans="1:19" x14ac:dyDescent="0.2">
      <c r="A39" s="41">
        <v>5061</v>
      </c>
      <c r="B39" s="41">
        <v>6.0500000035972334E-3</v>
      </c>
      <c r="C39" s="5"/>
      <c r="D39" s="42">
        <f t="shared" si="4"/>
        <v>0.50609999999999999</v>
      </c>
      <c r="E39" s="42">
        <f t="shared" si="4"/>
        <v>6.0500000035972334E-3</v>
      </c>
      <c r="F39" s="9">
        <f t="shared" si="9"/>
        <v>0.25613721</v>
      </c>
      <c r="G39" s="9">
        <f t="shared" si="10"/>
        <v>0.12963104198100001</v>
      </c>
      <c r="H39" s="9">
        <f t="shared" si="11"/>
        <v>6.5606270346584103E-2</v>
      </c>
      <c r="I39" s="9">
        <f t="shared" si="12"/>
        <v>3.0619050018205599E-3</v>
      </c>
      <c r="J39" s="9">
        <f t="shared" si="13"/>
        <v>1.5496301214213853E-3</v>
      </c>
      <c r="K39" s="9">
        <f t="shared" ca="1" si="5"/>
        <v>8.1861989834844349E-3</v>
      </c>
      <c r="L39" s="9">
        <f t="shared" ca="1" si="14"/>
        <v>4.5633460816711201E-6</v>
      </c>
      <c r="M39" s="9">
        <f t="shared" ca="1" si="6"/>
        <v>1274.8304904046799</v>
      </c>
      <c r="N39" s="9">
        <f t="shared" ca="1" si="7"/>
        <v>10312.857807564591</v>
      </c>
      <c r="O39" s="9">
        <f t="shared" ca="1" si="8"/>
        <v>17809.989973716434</v>
      </c>
      <c r="P39" s="5">
        <f t="shared" ca="1" si="15"/>
        <v>-2.1361989798872015E-3</v>
      </c>
      <c r="Q39" s="5"/>
      <c r="R39" s="5"/>
      <c r="S39" s="5"/>
    </row>
    <row r="40" spans="1:19" x14ac:dyDescent="0.2">
      <c r="A40" s="41">
        <v>5061</v>
      </c>
      <c r="B40" s="41">
        <v>6.7500000004656613E-3</v>
      </c>
      <c r="C40" s="5"/>
      <c r="D40" s="42">
        <f t="shared" si="4"/>
        <v>0.50609999999999999</v>
      </c>
      <c r="E40" s="42">
        <f t="shared" si="4"/>
        <v>6.7500000004656613E-3</v>
      </c>
      <c r="F40" s="9">
        <f t="shared" si="9"/>
        <v>0.25613721</v>
      </c>
      <c r="G40" s="9">
        <f t="shared" si="10"/>
        <v>0.12963104198100001</v>
      </c>
      <c r="H40" s="9">
        <f t="shared" si="11"/>
        <v>6.5606270346584103E-2</v>
      </c>
      <c r="I40" s="9">
        <f t="shared" si="12"/>
        <v>3.4161750002356713E-3</v>
      </c>
      <c r="J40" s="9">
        <f t="shared" si="13"/>
        <v>1.7289261676192733E-3</v>
      </c>
      <c r="K40" s="9">
        <f t="shared" ca="1" si="5"/>
        <v>8.1861989834844349E-3</v>
      </c>
      <c r="L40" s="9">
        <f t="shared" ca="1" si="14"/>
        <v>2.0626675188241595E-6</v>
      </c>
      <c r="M40" s="9">
        <f t="shared" ca="1" si="6"/>
        <v>1274.8304904046799</v>
      </c>
      <c r="N40" s="9">
        <f t="shared" ca="1" si="7"/>
        <v>10312.857807564591</v>
      </c>
      <c r="O40" s="9">
        <f t="shared" ca="1" si="8"/>
        <v>17809.989973716434</v>
      </c>
      <c r="P40" s="5">
        <f t="shared" ca="1" si="15"/>
        <v>-1.4361989830187737E-3</v>
      </c>
      <c r="Q40" s="5"/>
      <c r="R40" s="5"/>
      <c r="S40" s="5"/>
    </row>
    <row r="41" spans="1:19" x14ac:dyDescent="0.2">
      <c r="A41" s="41">
        <v>5061.5</v>
      </c>
      <c r="B41" s="41">
        <v>6.9250000015017577E-3</v>
      </c>
      <c r="C41" s="5"/>
      <c r="D41" s="42">
        <f t="shared" si="4"/>
        <v>0.50614999999999999</v>
      </c>
      <c r="E41" s="42">
        <f t="shared" si="4"/>
        <v>6.9250000015017577E-3</v>
      </c>
      <c r="F41" s="9">
        <f t="shared" si="9"/>
        <v>0.2561878225</v>
      </c>
      <c r="G41" s="9">
        <f t="shared" si="10"/>
        <v>0.12966946635837501</v>
      </c>
      <c r="H41" s="9">
        <f t="shared" si="11"/>
        <v>6.5632200397291507E-2</v>
      </c>
      <c r="I41" s="9">
        <f t="shared" si="12"/>
        <v>3.5050887507601146E-3</v>
      </c>
      <c r="J41" s="9">
        <f t="shared" si="13"/>
        <v>1.7741006711972319E-3</v>
      </c>
      <c r="K41" s="9">
        <f t="shared" ca="1" si="5"/>
        <v>8.1868326915981726E-3</v>
      </c>
      <c r="L41" s="9">
        <f t="shared" ca="1" si="14"/>
        <v>1.5922217377959551E-6</v>
      </c>
      <c r="M41" s="9">
        <f t="shared" ca="1" si="6"/>
        <v>1274.6187149818575</v>
      </c>
      <c r="N41" s="9">
        <f t="shared" ca="1" si="7"/>
        <v>10312.616731572663</v>
      </c>
      <c r="O41" s="9">
        <f t="shared" ca="1" si="8"/>
        <v>17808.020906420988</v>
      </c>
      <c r="P41" s="5">
        <f t="shared" ca="1" si="15"/>
        <v>-1.261832690096415E-3</v>
      </c>
      <c r="Q41" s="5"/>
      <c r="R41" s="5"/>
      <c r="S41" s="5"/>
    </row>
    <row r="42" spans="1:19" x14ac:dyDescent="0.2">
      <c r="A42" s="41">
        <v>5061.5</v>
      </c>
      <c r="B42" s="41">
        <v>7.2250000011990778E-3</v>
      </c>
      <c r="C42" s="5"/>
      <c r="D42" s="42">
        <f t="shared" si="4"/>
        <v>0.50614999999999999</v>
      </c>
      <c r="E42" s="42">
        <f t="shared" si="4"/>
        <v>7.2250000011990778E-3</v>
      </c>
      <c r="F42" s="9">
        <f t="shared" si="9"/>
        <v>0.2561878225</v>
      </c>
      <c r="G42" s="9">
        <f t="shared" si="10"/>
        <v>0.12966946635837501</v>
      </c>
      <c r="H42" s="9">
        <f t="shared" si="11"/>
        <v>6.5632200397291507E-2</v>
      </c>
      <c r="I42" s="9">
        <f t="shared" si="12"/>
        <v>3.6569337506069132E-3</v>
      </c>
      <c r="J42" s="9">
        <f t="shared" si="13"/>
        <v>1.8509570178696891E-3</v>
      </c>
      <c r="K42" s="9">
        <f t="shared" ca="1" si="5"/>
        <v>8.1868326915981726E-3</v>
      </c>
      <c r="L42" s="9">
        <f t="shared" ca="1" si="14"/>
        <v>9.2512212432036093E-7</v>
      </c>
      <c r="M42" s="9">
        <f t="shared" ca="1" si="6"/>
        <v>1274.6187149818575</v>
      </c>
      <c r="N42" s="9">
        <f t="shared" ca="1" si="7"/>
        <v>10312.616731572663</v>
      </c>
      <c r="O42" s="9">
        <f t="shared" ca="1" si="8"/>
        <v>17808.020906420988</v>
      </c>
      <c r="P42" s="5">
        <f t="shared" ca="1" si="15"/>
        <v>-9.618326903990948E-4</v>
      </c>
      <c r="Q42" s="5"/>
      <c r="R42" s="5"/>
      <c r="S42" s="5"/>
    </row>
    <row r="43" spans="1:19" x14ac:dyDescent="0.2">
      <c r="A43" s="41">
        <v>5068</v>
      </c>
      <c r="B43" s="41">
        <v>8.2000000038533472E-3</v>
      </c>
      <c r="C43" s="5"/>
      <c r="D43" s="42">
        <f t="shared" si="4"/>
        <v>0.50680000000000003</v>
      </c>
      <c r="E43" s="42">
        <f t="shared" si="4"/>
        <v>8.2000000038533472E-3</v>
      </c>
      <c r="F43" s="9">
        <f t="shared" si="9"/>
        <v>0.25684624</v>
      </c>
      <c r="G43" s="9">
        <f t="shared" si="10"/>
        <v>0.130169674432</v>
      </c>
      <c r="H43" s="9">
        <f t="shared" si="11"/>
        <v>6.5969991002137601E-2</v>
      </c>
      <c r="I43" s="9">
        <f t="shared" si="12"/>
        <v>4.1557600019528768E-3</v>
      </c>
      <c r="J43" s="9">
        <f t="shared" si="13"/>
        <v>2.106139168989718E-3</v>
      </c>
      <c r="K43" s="9">
        <f t="shared" ca="1" si="5"/>
        <v>8.1950746176236138E-3</v>
      </c>
      <c r="L43" s="9">
        <f t="shared" ca="1" si="14"/>
        <v>2.4259429512046741E-11</v>
      </c>
      <c r="M43" s="9">
        <f t="shared" ca="1" si="6"/>
        <v>1271.865135012951</v>
      </c>
      <c r="N43" s="9">
        <f t="shared" ca="1" si="7"/>
        <v>10309.444271226504</v>
      </c>
      <c r="O43" s="9">
        <f t="shared" ca="1" si="8"/>
        <v>17782.365000395308</v>
      </c>
      <c r="P43" s="5">
        <f t="shared" ca="1" si="15"/>
        <v>4.9253862297333334E-6</v>
      </c>
      <c r="Q43" s="5"/>
      <c r="R43" s="5"/>
      <c r="S43" s="5"/>
    </row>
    <row r="44" spans="1:19" x14ac:dyDescent="0.2">
      <c r="A44" s="41">
        <v>5084.5</v>
      </c>
      <c r="B44" s="41">
        <v>6.8749999991268851E-3</v>
      </c>
      <c r="C44" s="5"/>
      <c r="D44" s="42">
        <f t="shared" si="4"/>
        <v>0.50844999999999996</v>
      </c>
      <c r="E44" s="42">
        <f t="shared" si="4"/>
        <v>6.8749999991268851E-3</v>
      </c>
      <c r="F44" s="9">
        <f t="shared" si="9"/>
        <v>0.25852140249999994</v>
      </c>
      <c r="G44" s="9">
        <f t="shared" si="10"/>
        <v>0.13144520710112495</v>
      </c>
      <c r="H44" s="9">
        <f t="shared" si="11"/>
        <v>6.6833315550566971E-2</v>
      </c>
      <c r="I44" s="9">
        <f t="shared" si="12"/>
        <v>3.4955937495560643E-3</v>
      </c>
      <c r="J44" s="9">
        <f t="shared" si="13"/>
        <v>1.7773346419617808E-3</v>
      </c>
      <c r="K44" s="9">
        <f t="shared" ca="1" si="5"/>
        <v>8.2160274616557023E-3</v>
      </c>
      <c r="L44" s="9">
        <f t="shared" ca="1" si="14"/>
        <v>1.7983546552564781E-6</v>
      </c>
      <c r="M44" s="9">
        <f t="shared" ca="1" si="6"/>
        <v>1264.8711808228079</v>
      </c>
      <c r="N44" s="9">
        <f t="shared" ca="1" si="7"/>
        <v>10301.070399228669</v>
      </c>
      <c r="O44" s="9">
        <f t="shared" ca="1" si="8"/>
        <v>17716.755933155146</v>
      </c>
      <c r="P44" s="5">
        <f t="shared" ca="1" si="15"/>
        <v>-1.3410274625288172E-3</v>
      </c>
      <c r="Q44" s="5"/>
      <c r="R44" s="5"/>
      <c r="S44" s="5"/>
    </row>
    <row r="45" spans="1:19" x14ac:dyDescent="0.2">
      <c r="A45" s="41">
        <v>6359.5</v>
      </c>
      <c r="B45" s="41">
        <v>9.5250000013038516E-3</v>
      </c>
      <c r="C45" s="5"/>
      <c r="D45" s="42">
        <f t="shared" si="4"/>
        <v>0.63595000000000002</v>
      </c>
      <c r="E45" s="42">
        <f t="shared" si="4"/>
        <v>9.5250000013038516E-3</v>
      </c>
      <c r="F45" s="9">
        <f t="shared" si="9"/>
        <v>0.40443240250000001</v>
      </c>
      <c r="G45" s="9">
        <f t="shared" si="10"/>
        <v>0.25719878636987503</v>
      </c>
      <c r="H45" s="9">
        <f t="shared" si="11"/>
        <v>0.163565568191922</v>
      </c>
      <c r="I45" s="9">
        <f t="shared" si="12"/>
        <v>6.0574237508291846E-3</v>
      </c>
      <c r="J45" s="9">
        <f t="shared" si="13"/>
        <v>3.85221863433982E-3</v>
      </c>
      <c r="K45" s="9">
        <f t="shared" ca="1" si="5"/>
        <v>9.9697588848653221E-3</v>
      </c>
      <c r="L45" s="9">
        <f t="shared" ca="1" si="14"/>
        <v>1.9781046450684565E-7</v>
      </c>
      <c r="M45" s="9">
        <f t="shared" ca="1" si="6"/>
        <v>724.24958995159579</v>
      </c>
      <c r="N45" s="9">
        <f t="shared" ca="1" si="7"/>
        <v>8354.8791530349572</v>
      </c>
      <c r="O45" s="9">
        <f t="shared" ca="1" si="8"/>
        <v>10995.33945345754</v>
      </c>
      <c r="P45" s="5">
        <f t="shared" ca="1" si="15"/>
        <v>-4.4475888356147047E-4</v>
      </c>
      <c r="Q45" s="5"/>
      <c r="R45" s="5"/>
      <c r="S45" s="5"/>
    </row>
    <row r="46" spans="1:19" x14ac:dyDescent="0.2">
      <c r="A46" s="41">
        <v>6360</v>
      </c>
      <c r="B46" s="41">
        <v>1.1100000003352761E-2</v>
      </c>
      <c r="C46" s="5"/>
      <c r="D46" s="42">
        <f t="shared" si="4"/>
        <v>0.63600000000000001</v>
      </c>
      <c r="E46" s="42">
        <f t="shared" si="4"/>
        <v>1.1100000003352761E-2</v>
      </c>
      <c r="F46" s="9">
        <f t="shared" si="9"/>
        <v>0.40449600000000002</v>
      </c>
      <c r="G46" s="9">
        <f t="shared" si="10"/>
        <v>0.257259456</v>
      </c>
      <c r="H46" s="9">
        <f t="shared" si="11"/>
        <v>0.16361701401600001</v>
      </c>
      <c r="I46" s="9">
        <f t="shared" si="12"/>
        <v>7.059600002132356E-3</v>
      </c>
      <c r="J46" s="9">
        <f t="shared" si="13"/>
        <v>4.4899056013561782E-3</v>
      </c>
      <c r="K46" s="9">
        <f t="shared" ca="1" si="5"/>
        <v>9.970498771661649E-3</v>
      </c>
      <c r="L46" s="9">
        <f t="shared" ca="1" si="14"/>
        <v>1.2757730323917395E-6</v>
      </c>
      <c r="M46" s="9">
        <f t="shared" ca="1" si="6"/>
        <v>724.0447445150761</v>
      </c>
      <c r="N46" s="9">
        <f t="shared" ca="1" si="7"/>
        <v>8353.6672213199199</v>
      </c>
      <c r="O46" s="9">
        <f t="shared" ca="1" si="8"/>
        <v>10992.267906240038</v>
      </c>
      <c r="P46" s="5">
        <f t="shared" ca="1" si="15"/>
        <v>1.1295012316911122E-3</v>
      </c>
      <c r="Q46" s="5"/>
      <c r="R46" s="5"/>
      <c r="S46" s="5"/>
    </row>
    <row r="47" spans="1:19" x14ac:dyDescent="0.2">
      <c r="A47" s="41">
        <v>6695</v>
      </c>
      <c r="B47" s="41">
        <v>1.314999999885913E-2</v>
      </c>
      <c r="C47" s="5"/>
      <c r="D47" s="42">
        <f t="shared" si="4"/>
        <v>0.66949999999999998</v>
      </c>
      <c r="E47" s="42">
        <f t="shared" si="4"/>
        <v>1.314999999885913E-2</v>
      </c>
      <c r="F47" s="9">
        <f t="shared" si="9"/>
        <v>0.44823025</v>
      </c>
      <c r="G47" s="9">
        <f t="shared" si="10"/>
        <v>0.30009015237499997</v>
      </c>
      <c r="H47" s="9">
        <f t="shared" si="11"/>
        <v>0.20091035701506249</v>
      </c>
      <c r="I47" s="9">
        <f t="shared" si="12"/>
        <v>8.803924999236188E-3</v>
      </c>
      <c r="J47" s="9">
        <f t="shared" si="13"/>
        <v>5.8942277869886281E-3</v>
      </c>
      <c r="K47" s="9">
        <f t="shared" ca="1" si="5"/>
        <v>1.0475413289146489E-2</v>
      </c>
      <c r="L47" s="9">
        <f t="shared" ca="1" si="14"/>
        <v>7.1534140677714898E-6</v>
      </c>
      <c r="M47" s="9">
        <f t="shared" ca="1" si="6"/>
        <v>589.77285150129615</v>
      </c>
      <c r="N47" s="9">
        <f t="shared" ca="1" si="7"/>
        <v>7479.7244793279315</v>
      </c>
      <c r="O47" s="9">
        <f t="shared" ca="1" si="8"/>
        <v>8911.5860710913203</v>
      </c>
      <c r="P47" s="5">
        <f t="shared" ca="1" si="15"/>
        <v>2.6745867097126407E-3</v>
      </c>
      <c r="Q47" s="5"/>
      <c r="R47" s="5"/>
      <c r="S47" s="5"/>
    </row>
    <row r="48" spans="1:19" x14ac:dyDescent="0.2">
      <c r="A48" s="41">
        <v>7317.5</v>
      </c>
      <c r="B48" s="41">
        <v>1.2524999998277053E-2</v>
      </c>
      <c r="C48" s="5"/>
      <c r="D48" s="42">
        <f t="shared" si="4"/>
        <v>0.73175000000000001</v>
      </c>
      <c r="E48" s="42">
        <f t="shared" si="4"/>
        <v>1.2524999998277053E-2</v>
      </c>
      <c r="F48" s="9">
        <f t="shared" si="9"/>
        <v>0.53545806250000005</v>
      </c>
      <c r="G48" s="9">
        <f t="shared" si="10"/>
        <v>0.39182143723437507</v>
      </c>
      <c r="H48" s="9">
        <f t="shared" si="11"/>
        <v>0.28671533669625399</v>
      </c>
      <c r="I48" s="9">
        <f t="shared" si="12"/>
        <v>9.1651687487392334E-3</v>
      </c>
      <c r="J48" s="9">
        <f t="shared" si="13"/>
        <v>6.7066122318899342E-3</v>
      </c>
      <c r="K48" s="9">
        <f t="shared" ca="1" si="5"/>
        <v>1.1462388619558381E-2</v>
      </c>
      <c r="L48" s="9">
        <f t="shared" ca="1" si="14"/>
        <v>1.129142942182398E-6</v>
      </c>
      <c r="M48" s="9">
        <f t="shared" ca="1" si="6"/>
        <v>361.97767394242908</v>
      </c>
      <c r="N48" s="9">
        <f t="shared" ca="1" si="7"/>
        <v>5603.6710964766798</v>
      </c>
      <c r="O48" s="9">
        <f t="shared" ca="1" si="8"/>
        <v>5135.057721008955</v>
      </c>
      <c r="P48" s="5">
        <f t="shared" ca="1" si="15"/>
        <v>1.0626113787186725E-3</v>
      </c>
      <c r="Q48" s="5"/>
      <c r="R48" s="5"/>
      <c r="S48" s="5"/>
    </row>
    <row r="49" spans="1:19" x14ac:dyDescent="0.2">
      <c r="A49" s="41">
        <v>7317.5</v>
      </c>
      <c r="B49" s="41">
        <v>1.2551373292808421E-2</v>
      </c>
      <c r="C49" s="5"/>
      <c r="D49" s="42">
        <f t="shared" si="4"/>
        <v>0.73175000000000001</v>
      </c>
      <c r="E49" s="42">
        <f t="shared" si="4"/>
        <v>1.2551373292808421E-2</v>
      </c>
      <c r="F49" s="9">
        <f t="shared" si="9"/>
        <v>0.53545806250000005</v>
      </c>
      <c r="G49" s="9">
        <f t="shared" si="10"/>
        <v>0.39182143723437507</v>
      </c>
      <c r="H49" s="9">
        <f t="shared" si="11"/>
        <v>0.28671533669625399</v>
      </c>
      <c r="I49" s="9">
        <f t="shared" si="12"/>
        <v>9.1844674070125625E-3</v>
      </c>
      <c r="J49" s="9">
        <f t="shared" si="13"/>
        <v>6.7207340250814429E-3</v>
      </c>
      <c r="K49" s="9">
        <f t="shared" ca="1" si="5"/>
        <v>1.1462388619558381E-2</v>
      </c>
      <c r="L49" s="9">
        <f t="shared" ca="1" si="14"/>
        <v>1.1858876185734969E-6</v>
      </c>
      <c r="M49" s="9">
        <f t="shared" ca="1" si="6"/>
        <v>361.97767394242908</v>
      </c>
      <c r="N49" s="9">
        <f t="shared" ca="1" si="7"/>
        <v>5603.6710964766798</v>
      </c>
      <c r="O49" s="9">
        <f t="shared" ca="1" si="8"/>
        <v>5135.057721008955</v>
      </c>
      <c r="P49" s="5">
        <f t="shared" ca="1" si="15"/>
        <v>1.0889846732500402E-3</v>
      </c>
      <c r="Q49" s="5"/>
      <c r="R49" s="5"/>
      <c r="S49" s="5"/>
    </row>
    <row r="50" spans="1:19" x14ac:dyDescent="0.2">
      <c r="A50" s="41">
        <v>7480</v>
      </c>
      <c r="B50" s="41">
        <v>1.2700000006589107E-2</v>
      </c>
      <c r="C50" s="5"/>
      <c r="D50" s="42">
        <f t="shared" si="4"/>
        <v>0.748</v>
      </c>
      <c r="E50" s="42">
        <f t="shared" si="4"/>
        <v>1.2700000006589107E-2</v>
      </c>
      <c r="F50" s="9">
        <f t="shared" si="9"/>
        <v>0.559504</v>
      </c>
      <c r="G50" s="9">
        <f t="shared" si="10"/>
        <v>0.41850899200000002</v>
      </c>
      <c r="H50" s="9">
        <f t="shared" si="11"/>
        <v>0.31304472601599997</v>
      </c>
      <c r="I50" s="9">
        <f t="shared" si="12"/>
        <v>9.4996000049286516E-3</v>
      </c>
      <c r="J50" s="9">
        <f t="shared" si="13"/>
        <v>7.1057008036866315E-3</v>
      </c>
      <c r="K50" s="9">
        <f t="shared" ca="1" si="5"/>
        <v>1.1730463600904842E-2</v>
      </c>
      <c r="L50" s="9">
        <f t="shared" ca="1" si="14"/>
        <v>9.4000084194716503E-7</v>
      </c>
      <c r="M50" s="9">
        <f t="shared" ca="1" si="6"/>
        <v>308.7114560716895</v>
      </c>
      <c r="N50" s="9">
        <f t="shared" ca="1" si="7"/>
        <v>5081.9270564343051</v>
      </c>
      <c r="O50" s="9">
        <f t="shared" ca="1" si="8"/>
        <v>4226.108379389083</v>
      </c>
      <c r="P50" s="5">
        <f t="shared" ca="1" si="15"/>
        <v>9.695364056842657E-4</v>
      </c>
      <c r="Q50" s="5"/>
      <c r="R50" s="5"/>
      <c r="S50" s="5"/>
    </row>
    <row r="51" spans="1:19" x14ac:dyDescent="0.2">
      <c r="A51" s="41">
        <v>7480.5</v>
      </c>
      <c r="B51" s="41">
        <v>1.0575000000244472E-2</v>
      </c>
      <c r="C51" s="5"/>
      <c r="D51" s="42">
        <f t="shared" si="4"/>
        <v>0.74804999999999999</v>
      </c>
      <c r="E51" s="42">
        <f t="shared" si="4"/>
        <v>1.0575000000244472E-2</v>
      </c>
      <c r="F51" s="9">
        <f t="shared" si="9"/>
        <v>0.55957880250000003</v>
      </c>
      <c r="G51" s="9">
        <f t="shared" si="10"/>
        <v>0.41859292321012503</v>
      </c>
      <c r="H51" s="9">
        <f t="shared" si="11"/>
        <v>0.31312843620733405</v>
      </c>
      <c r="I51" s="9">
        <f t="shared" si="12"/>
        <v>7.910628750182877E-3</v>
      </c>
      <c r="J51" s="9">
        <f t="shared" si="13"/>
        <v>5.9175458365743009E-3</v>
      </c>
      <c r="K51" s="9">
        <f t="shared" ca="1" si="5"/>
        <v>1.1731295111277483E-2</v>
      </c>
      <c r="L51" s="9">
        <f t="shared" ca="1" si="14"/>
        <v>1.3370183837988429E-6</v>
      </c>
      <c r="M51" s="9">
        <f t="shared" ca="1" si="6"/>
        <v>308.55224570266915</v>
      </c>
      <c r="N51" s="9">
        <f t="shared" ca="1" si="7"/>
        <v>5080.3123289073637</v>
      </c>
      <c r="O51" s="9">
        <f t="shared" ca="1" si="8"/>
        <v>4223.3888277867591</v>
      </c>
      <c r="P51" s="5">
        <f t="shared" ca="1" si="15"/>
        <v>-1.1562951110330108E-3</v>
      </c>
      <c r="Q51" s="5"/>
      <c r="R51" s="5"/>
      <c r="S51" s="5"/>
    </row>
    <row r="52" spans="1:19" x14ac:dyDescent="0.2">
      <c r="A52" s="41">
        <v>7876</v>
      </c>
      <c r="B52" s="41">
        <v>1.0600000001431908E-2</v>
      </c>
      <c r="C52" s="5"/>
      <c r="D52" s="42">
        <f t="shared" si="4"/>
        <v>0.78759999999999997</v>
      </c>
      <c r="E52" s="42">
        <f t="shared" si="4"/>
        <v>1.0600000001431908E-2</v>
      </c>
      <c r="F52" s="9">
        <f t="shared" si="9"/>
        <v>0.62031375999999994</v>
      </c>
      <c r="G52" s="9">
        <f t="shared" si="10"/>
        <v>0.48855911737599994</v>
      </c>
      <c r="H52" s="9">
        <f t="shared" si="11"/>
        <v>0.38478916084533754</v>
      </c>
      <c r="I52" s="9">
        <f t="shared" si="12"/>
        <v>8.3485600011277711E-3</v>
      </c>
      <c r="J52" s="9">
        <f t="shared" si="13"/>
        <v>6.5753258568882322E-3</v>
      </c>
      <c r="K52" s="9">
        <f t="shared" ca="1" si="5"/>
        <v>1.2401826510613259E-2</v>
      </c>
      <c r="L52" s="9">
        <f t="shared" ca="1" si="14"/>
        <v>3.2465787691886532E-6</v>
      </c>
      <c r="M52" s="9">
        <f t="shared" ca="1" si="6"/>
        <v>192.65587561410302</v>
      </c>
      <c r="N52" s="9">
        <f t="shared" ca="1" si="7"/>
        <v>3802.0422467728285</v>
      </c>
      <c r="O52" s="9">
        <f t="shared" ca="1" si="8"/>
        <v>2262.226058920508</v>
      </c>
      <c r="P52" s="5">
        <f t="shared" ca="1" si="15"/>
        <v>-1.801826509181351E-3</v>
      </c>
      <c r="Q52" s="5"/>
      <c r="R52" s="5"/>
      <c r="S52" s="5"/>
    </row>
    <row r="53" spans="1:19" x14ac:dyDescent="0.2">
      <c r="A53" s="41">
        <v>8662.5</v>
      </c>
      <c r="B53" s="41">
        <v>1.5575000004901085E-2</v>
      </c>
      <c r="C53" s="5"/>
      <c r="D53" s="42">
        <f t="shared" ref="D53:E84" si="16">A53/A$18</f>
        <v>0.86624999999999996</v>
      </c>
      <c r="E53" s="42">
        <f t="shared" si="16"/>
        <v>1.5575000004901085E-2</v>
      </c>
      <c r="F53" s="9">
        <f t="shared" si="9"/>
        <v>0.75038906249999993</v>
      </c>
      <c r="G53" s="9">
        <f t="shared" si="10"/>
        <v>0.65002452539062494</v>
      </c>
      <c r="H53" s="9">
        <f t="shared" si="11"/>
        <v>0.56308374511962878</v>
      </c>
      <c r="I53" s="9">
        <f t="shared" si="12"/>
        <v>1.3491843754245565E-2</v>
      </c>
      <c r="J53" s="9">
        <f t="shared" si="13"/>
        <v>1.1687309652115221E-2</v>
      </c>
      <c r="K53" s="9">
        <f t="shared" ref="K53:K84" ca="1" si="17">+E$4+E$5*D53+E$6*D53^2</f>
        <v>1.3811277151129576E-2</v>
      </c>
      <c r="L53" s="9">
        <f t="shared" ca="1" si="14"/>
        <v>3.1107183049159154E-6</v>
      </c>
      <c r="M53" s="9">
        <f t="shared" ca="1" si="6"/>
        <v>35.392312244260644</v>
      </c>
      <c r="N53" s="9">
        <f t="shared" ca="1" si="7"/>
        <v>1493.2229628341511</v>
      </c>
      <c r="O53" s="9">
        <f t="shared" ca="1" si="8"/>
        <v>59.398664025279409</v>
      </c>
      <c r="P53" s="5">
        <f t="shared" ca="1" si="15"/>
        <v>1.7637228537715089E-3</v>
      </c>
      <c r="Q53" s="5"/>
      <c r="R53" s="5"/>
      <c r="S53" s="5"/>
    </row>
    <row r="54" spans="1:19" x14ac:dyDescent="0.2">
      <c r="A54" s="41">
        <v>8765</v>
      </c>
      <c r="B54" s="41">
        <v>1.3450000005832408E-2</v>
      </c>
      <c r="C54" s="5"/>
      <c r="D54" s="42">
        <f t="shared" si="16"/>
        <v>0.87649999999999995</v>
      </c>
      <c r="E54" s="42">
        <f t="shared" si="16"/>
        <v>1.3450000005832408E-2</v>
      </c>
      <c r="F54" s="9">
        <f t="shared" si="9"/>
        <v>0.76825224999999986</v>
      </c>
      <c r="G54" s="9">
        <f t="shared" si="10"/>
        <v>0.67337309712499982</v>
      </c>
      <c r="H54" s="9">
        <f t="shared" si="11"/>
        <v>0.59021151963006224</v>
      </c>
      <c r="I54" s="9">
        <f t="shared" si="12"/>
        <v>1.1788925005112104E-2</v>
      </c>
      <c r="J54" s="9">
        <f t="shared" si="13"/>
        <v>1.0332992766980758E-2</v>
      </c>
      <c r="K54" s="9">
        <f t="shared" ca="1" si="17"/>
        <v>1.4002413818737E-2</v>
      </c>
      <c r="L54" s="9">
        <f t="shared" ca="1" si="14"/>
        <v>3.0516102068779007E-7</v>
      </c>
      <c r="M54" s="9">
        <f t="shared" ca="1" si="6"/>
        <v>23.586390856209348</v>
      </c>
      <c r="N54" s="9">
        <f t="shared" ca="1" si="7"/>
        <v>1243.2982980491715</v>
      </c>
      <c r="O54" s="9">
        <f t="shared" ca="1" si="8"/>
        <v>4.0109183945806581</v>
      </c>
      <c r="P54" s="5">
        <f t="shared" ca="1" si="15"/>
        <v>-5.5241381290459246E-4</v>
      </c>
      <c r="Q54" s="5"/>
      <c r="R54" s="5"/>
      <c r="S54" s="5"/>
    </row>
    <row r="55" spans="1:19" x14ac:dyDescent="0.2">
      <c r="A55" s="41">
        <v>8765.5</v>
      </c>
      <c r="B55" s="41">
        <v>1.6025000004447065E-2</v>
      </c>
      <c r="C55" s="5"/>
      <c r="D55" s="42">
        <f t="shared" si="16"/>
        <v>0.87655000000000005</v>
      </c>
      <c r="E55" s="42">
        <f t="shared" si="16"/>
        <v>1.6025000004447065E-2</v>
      </c>
      <c r="F55" s="9">
        <f t="shared" si="9"/>
        <v>0.76833990250000006</v>
      </c>
      <c r="G55" s="9">
        <f t="shared" si="10"/>
        <v>0.67348834153637505</v>
      </c>
      <c r="H55" s="9">
        <f t="shared" si="11"/>
        <v>0.59034620577370955</v>
      </c>
      <c r="I55" s="9">
        <f t="shared" si="12"/>
        <v>1.4046713753898077E-2</v>
      </c>
      <c r="J55" s="9">
        <f t="shared" si="13"/>
        <v>1.231264694097936E-2</v>
      </c>
      <c r="K55" s="9">
        <f t="shared" ca="1" si="17"/>
        <v>1.4003350403893722E-2</v>
      </c>
      <c r="L55" s="9">
        <f t="shared" ca="1" si="14"/>
        <v>4.0870671074174937E-6</v>
      </c>
      <c r="M55" s="9">
        <f t="shared" ca="1" si="6"/>
        <v>23.534328904662779</v>
      </c>
      <c r="N55" s="9">
        <f t="shared" ca="1" si="7"/>
        <v>1242.119998063939</v>
      </c>
      <c r="O55" s="9">
        <f t="shared" ca="1" si="8"/>
        <v>3.8990982393014724</v>
      </c>
      <c r="P55" s="5">
        <f t="shared" ca="1" si="15"/>
        <v>2.0216496005533435E-3</v>
      </c>
      <c r="Q55" s="5"/>
      <c r="R55" s="5"/>
      <c r="S55" s="5"/>
    </row>
    <row r="56" spans="1:19" x14ac:dyDescent="0.2">
      <c r="A56" s="41">
        <v>9963</v>
      </c>
      <c r="B56" s="41">
        <v>1.6150000003108289E-2</v>
      </c>
      <c r="C56" s="5"/>
      <c r="D56" s="42">
        <f t="shared" si="16"/>
        <v>0.99629999999999996</v>
      </c>
      <c r="E56" s="42">
        <f t="shared" si="16"/>
        <v>1.6150000003108289E-2</v>
      </c>
      <c r="F56" s="9">
        <f t="shared" si="9"/>
        <v>0.99261368999999988</v>
      </c>
      <c r="G56" s="9">
        <f t="shared" si="10"/>
        <v>0.98894101934699985</v>
      </c>
      <c r="H56" s="9">
        <f t="shared" si="11"/>
        <v>0.98528193757541582</v>
      </c>
      <c r="I56" s="9">
        <f t="shared" si="12"/>
        <v>1.6090245003096786E-2</v>
      </c>
      <c r="J56" s="9">
        <f t="shared" si="13"/>
        <v>1.6030711096585326E-2</v>
      </c>
      <c r="K56" s="9">
        <f t="shared" ca="1" si="17"/>
        <v>1.6363779878057025E-2</v>
      </c>
      <c r="L56" s="9">
        <f t="shared" ca="1" si="14"/>
        <v>4.5701834933097088E-8</v>
      </c>
      <c r="M56" s="9">
        <f t="shared" ca="1" si="6"/>
        <v>79.590655965311512</v>
      </c>
      <c r="N56" s="9">
        <f t="shared" ca="1" si="7"/>
        <v>116.55183353912658</v>
      </c>
      <c r="O56" s="9">
        <f t="shared" ca="1" si="8"/>
        <v>5386.2005247940806</v>
      </c>
      <c r="P56" s="5">
        <f t="shared" ca="1" si="15"/>
        <v>-2.1377987494873574E-4</v>
      </c>
      <c r="Q56" s="5"/>
      <c r="R56" s="5"/>
      <c r="S56" s="5"/>
    </row>
    <row r="57" spans="1:19" x14ac:dyDescent="0.2">
      <c r="A57" s="41">
        <v>10083.5</v>
      </c>
      <c r="B57" s="41">
        <v>1.7724999997881241E-2</v>
      </c>
      <c r="C57" s="5"/>
      <c r="D57" s="42">
        <f t="shared" si="16"/>
        <v>1.0083500000000001</v>
      </c>
      <c r="E57" s="42">
        <f t="shared" si="16"/>
        <v>1.7724999997881241E-2</v>
      </c>
      <c r="F57" s="9">
        <f t="shared" si="9"/>
        <v>1.0167697225000001</v>
      </c>
      <c r="G57" s="9">
        <f t="shared" si="10"/>
        <v>1.0252597496828753</v>
      </c>
      <c r="H57" s="9">
        <f t="shared" si="11"/>
        <v>1.0338206685927271</v>
      </c>
      <c r="I57" s="9">
        <f t="shared" si="12"/>
        <v>1.7873003747863551E-2</v>
      </c>
      <c r="J57" s="9">
        <f t="shared" si="13"/>
        <v>1.8022243329158211E-2</v>
      </c>
      <c r="K57" s="9">
        <f t="shared" ca="1" si="17"/>
        <v>1.6614287844707344E-2</v>
      </c>
      <c r="L57" s="9">
        <f t="shared" ca="1" si="14"/>
        <v>1.2336814872081944E-6</v>
      </c>
      <c r="M57" s="9">
        <f t="shared" ca="1" si="6"/>
        <v>108.36865430848712</v>
      </c>
      <c r="N57" s="9">
        <f t="shared" ca="1" si="7"/>
        <v>259.03020057766327</v>
      </c>
      <c r="O57" s="9">
        <f t="shared" ca="1" si="8"/>
        <v>6701.6523906926104</v>
      </c>
      <c r="P57" s="5">
        <f t="shared" ca="1" si="15"/>
        <v>1.110712153173897E-3</v>
      </c>
      <c r="Q57" s="5"/>
      <c r="R57" s="5"/>
      <c r="S57" s="5"/>
    </row>
    <row r="58" spans="1:19" x14ac:dyDescent="0.2">
      <c r="A58" s="41">
        <v>10084</v>
      </c>
      <c r="B58" s="41">
        <v>1.750000000174623E-2</v>
      </c>
      <c r="C58" s="5"/>
      <c r="D58" s="42">
        <f t="shared" si="16"/>
        <v>1.0084</v>
      </c>
      <c r="E58" s="42">
        <f t="shared" si="16"/>
        <v>1.750000000174623E-2</v>
      </c>
      <c r="F58" s="9">
        <f t="shared" si="9"/>
        <v>1.0168705599999999</v>
      </c>
      <c r="G58" s="9">
        <f t="shared" si="10"/>
        <v>1.0254122727039998</v>
      </c>
      <c r="H58" s="9">
        <f t="shared" si="11"/>
        <v>1.0340257357947134</v>
      </c>
      <c r="I58" s="9">
        <f t="shared" si="12"/>
        <v>1.7647000001760896E-2</v>
      </c>
      <c r="J58" s="9">
        <f t="shared" si="13"/>
        <v>1.7795234801775688E-2</v>
      </c>
      <c r="K58" s="9">
        <f t="shared" ca="1" si="17"/>
        <v>1.6615332243951848E-2</v>
      </c>
      <c r="L58" s="9">
        <f t="shared" ca="1" si="14"/>
        <v>7.8263704168093851E-7</v>
      </c>
      <c r="M58" s="9">
        <f t="shared" ca="1" si="6"/>
        <v>108.49811447768093</v>
      </c>
      <c r="N58" s="9">
        <f t="shared" ca="1" si="7"/>
        <v>259.74654438848842</v>
      </c>
      <c r="O58" s="9">
        <f t="shared" ca="1" si="8"/>
        <v>6707.4652955822476</v>
      </c>
      <c r="P58" s="5">
        <f t="shared" ca="1" si="15"/>
        <v>8.846677577943815E-4</v>
      </c>
      <c r="Q58" s="5"/>
      <c r="R58" s="5"/>
      <c r="S58" s="5"/>
    </row>
    <row r="59" spans="1:19" x14ac:dyDescent="0.2">
      <c r="A59" s="41">
        <v>10101.5</v>
      </c>
      <c r="B59" s="41">
        <v>1.8925000003946479E-2</v>
      </c>
      <c r="C59" s="5"/>
      <c r="D59" s="42">
        <f t="shared" si="16"/>
        <v>1.0101500000000001</v>
      </c>
      <c r="E59" s="42">
        <f t="shared" si="16"/>
        <v>1.8925000003946479E-2</v>
      </c>
      <c r="F59" s="9">
        <f t="shared" si="9"/>
        <v>1.0204030225000003</v>
      </c>
      <c r="G59" s="9">
        <f t="shared" si="10"/>
        <v>1.0307601131783755</v>
      </c>
      <c r="H59" s="9">
        <f t="shared" si="11"/>
        <v>1.041222328327136</v>
      </c>
      <c r="I59" s="9">
        <f t="shared" si="12"/>
        <v>1.9117088753986537E-2</v>
      </c>
      <c r="J59" s="9">
        <f t="shared" si="13"/>
        <v>1.9311127204839504E-2</v>
      </c>
      <c r="K59" s="9">
        <f t="shared" ca="1" si="17"/>
        <v>1.6651911975141466E-2</v>
      </c>
      <c r="L59" s="9">
        <f t="shared" ca="1" si="14"/>
        <v>5.166929186696662E-6</v>
      </c>
      <c r="M59" s="9">
        <f t="shared" ca="1" si="6"/>
        <v>113.08224382133344</v>
      </c>
      <c r="N59" s="9">
        <f t="shared" ca="1" si="7"/>
        <v>285.48635919878348</v>
      </c>
      <c r="O59" s="9">
        <f t="shared" ca="1" si="8"/>
        <v>6912.797761132505</v>
      </c>
      <c r="P59" s="5">
        <f t="shared" ca="1" si="15"/>
        <v>2.2730880288050134E-3</v>
      </c>
      <c r="Q59" s="5"/>
      <c r="R59" s="5"/>
      <c r="S59" s="5"/>
    </row>
    <row r="60" spans="1:19" x14ac:dyDescent="0.2">
      <c r="A60" s="41">
        <v>10102</v>
      </c>
      <c r="B60" s="41">
        <v>1.6700000000128057E-2</v>
      </c>
      <c r="C60" s="5"/>
      <c r="D60" s="42">
        <f t="shared" si="16"/>
        <v>1.0102</v>
      </c>
      <c r="E60" s="42">
        <f t="shared" si="16"/>
        <v>1.6700000000128057E-2</v>
      </c>
      <c r="F60" s="9">
        <f t="shared" si="9"/>
        <v>1.0205040400000001</v>
      </c>
      <c r="G60" s="9">
        <f t="shared" si="10"/>
        <v>1.0309131812080001</v>
      </c>
      <c r="H60" s="9">
        <f t="shared" si="11"/>
        <v>1.0414284956563218</v>
      </c>
      <c r="I60" s="9">
        <f t="shared" si="12"/>
        <v>1.6870340000129363E-2</v>
      </c>
      <c r="J60" s="9">
        <f t="shared" si="13"/>
        <v>1.7042417468130681E-2</v>
      </c>
      <c r="K60" s="9">
        <f t="shared" ca="1" si="17"/>
        <v>1.6652957846250649E-2</v>
      </c>
      <c r="L60" s="9">
        <f t="shared" ca="1" si="14"/>
        <v>2.2129642414257281E-9</v>
      </c>
      <c r="M60" s="9">
        <f t="shared" ca="1" si="6"/>
        <v>113.21473658214565</v>
      </c>
      <c r="N60" s="9">
        <f t="shared" ca="1" si="7"/>
        <v>286.24092413588914</v>
      </c>
      <c r="O60" s="9">
        <f t="shared" ca="1" si="8"/>
        <v>6918.7182725260109</v>
      </c>
      <c r="P60" s="5">
        <f t="shared" ca="1" si="15"/>
        <v>4.7042153877407955E-5</v>
      </c>
      <c r="Q60" s="5"/>
      <c r="R60" s="5"/>
      <c r="S60" s="5"/>
    </row>
    <row r="61" spans="1:19" x14ac:dyDescent="0.2">
      <c r="A61" s="41">
        <v>10244.5</v>
      </c>
      <c r="B61" s="41">
        <v>1.7775000000256114E-2</v>
      </c>
      <c r="C61" s="5"/>
      <c r="D61" s="42">
        <f t="shared" si="16"/>
        <v>1.0244500000000001</v>
      </c>
      <c r="E61" s="42">
        <f t="shared" si="16"/>
        <v>1.7775000000256114E-2</v>
      </c>
      <c r="F61" s="9">
        <f t="shared" si="9"/>
        <v>1.0494978025000001</v>
      </c>
      <c r="G61" s="9">
        <f t="shared" si="10"/>
        <v>1.0751580237711251</v>
      </c>
      <c r="H61" s="9">
        <f t="shared" si="11"/>
        <v>1.1014456374523294</v>
      </c>
      <c r="I61" s="9">
        <f t="shared" si="12"/>
        <v>1.8209598750262377E-2</v>
      </c>
      <c r="J61" s="9">
        <f t="shared" si="13"/>
        <v>1.8654823439706293E-2</v>
      </c>
      <c r="K61" s="9">
        <f t="shared" ca="1" si="17"/>
        <v>1.6952697385841459E-2</v>
      </c>
      <c r="L61" s="9">
        <f t="shared" ca="1" si="14"/>
        <v>6.7618158967317679E-7</v>
      </c>
      <c r="M61" s="9">
        <f t="shared" ca="1" si="6"/>
        <v>154.46425543127737</v>
      </c>
      <c r="N61" s="9">
        <f t="shared" ca="1" si="7"/>
        <v>545.86264080256944</v>
      </c>
      <c r="O61" s="9">
        <f t="shared" ca="1" si="8"/>
        <v>8730.6535530335568</v>
      </c>
      <c r="P61" s="5">
        <f t="shared" ca="1" si="15"/>
        <v>8.2230261441465502E-4</v>
      </c>
      <c r="Q61" s="5"/>
      <c r="R61" s="5"/>
      <c r="S61" s="5"/>
    </row>
    <row r="62" spans="1:19" x14ac:dyDescent="0.2">
      <c r="A62" s="41">
        <v>10245</v>
      </c>
      <c r="B62" s="41">
        <v>1.705000000220025E-2</v>
      </c>
      <c r="C62" s="5"/>
      <c r="D62" s="42">
        <f t="shared" si="16"/>
        <v>1.0245</v>
      </c>
      <c r="E62" s="42">
        <f t="shared" si="16"/>
        <v>1.705000000220025E-2</v>
      </c>
      <c r="F62" s="9">
        <f t="shared" si="9"/>
        <v>1.0496002499999999</v>
      </c>
      <c r="G62" s="9">
        <f t="shared" si="10"/>
        <v>1.0753154561249998</v>
      </c>
      <c r="H62" s="9">
        <f t="shared" si="11"/>
        <v>1.1016606848000623</v>
      </c>
      <c r="I62" s="9">
        <f t="shared" si="12"/>
        <v>1.7467725002254155E-2</v>
      </c>
      <c r="J62" s="9">
        <f t="shared" si="13"/>
        <v>1.7895684264809381E-2</v>
      </c>
      <c r="K62" s="9">
        <f t="shared" ca="1" si="17"/>
        <v>1.6953754950097821E-2</v>
      </c>
      <c r="L62" s="9">
        <f t="shared" ca="1" si="14"/>
        <v>9.2631100541991355E-9</v>
      </c>
      <c r="M62" s="9">
        <f t="shared" ca="1" si="6"/>
        <v>154.62139962268353</v>
      </c>
      <c r="N62" s="9">
        <f t="shared" ca="1" si="7"/>
        <v>546.93387287261226</v>
      </c>
      <c r="O62" s="9">
        <f t="shared" ca="1" si="8"/>
        <v>8737.4566478638608</v>
      </c>
      <c r="P62" s="5">
        <f t="shared" ca="1" si="15"/>
        <v>9.6245052102428286E-5</v>
      </c>
      <c r="Q62" s="5"/>
      <c r="R62" s="5"/>
      <c r="S62" s="5"/>
    </row>
    <row r="63" spans="1:19" x14ac:dyDescent="0.2">
      <c r="A63" s="41">
        <v>10254.5</v>
      </c>
      <c r="B63" s="41">
        <v>1.7375000003085006E-2</v>
      </c>
      <c r="C63" s="5"/>
      <c r="D63" s="42">
        <f t="shared" si="16"/>
        <v>1.02545</v>
      </c>
      <c r="E63" s="42">
        <f t="shared" si="16"/>
        <v>1.7375000003085006E-2</v>
      </c>
      <c r="F63" s="9">
        <f t="shared" si="9"/>
        <v>1.0515477025</v>
      </c>
      <c r="G63" s="9">
        <f t="shared" si="10"/>
        <v>1.0783095915286249</v>
      </c>
      <c r="H63" s="9">
        <f t="shared" si="11"/>
        <v>1.1057525706330285</v>
      </c>
      <c r="I63" s="9">
        <f t="shared" si="12"/>
        <v>1.781719375316352E-2</v>
      </c>
      <c r="J63" s="9">
        <f t="shared" si="13"/>
        <v>1.827064133418153E-2</v>
      </c>
      <c r="K63" s="9">
        <f t="shared" ca="1" si="17"/>
        <v>1.6973856439143425E-2</v>
      </c>
      <c r="L63" s="9">
        <f t="shared" ca="1" si="14"/>
        <v>1.6091615889175295E-7</v>
      </c>
      <c r="M63" s="9">
        <f t="shared" ca="1" si="6"/>
        <v>157.62386302267868</v>
      </c>
      <c r="N63" s="9">
        <f t="shared" ca="1" si="7"/>
        <v>567.50577183724204</v>
      </c>
      <c r="O63" s="9">
        <f t="shared" ca="1" si="8"/>
        <v>8867.3190240006097</v>
      </c>
      <c r="P63" s="5">
        <f t="shared" ca="1" si="15"/>
        <v>4.0114356394158057E-4</v>
      </c>
      <c r="Q63" s="5"/>
      <c r="R63" s="5"/>
      <c r="S63" s="5"/>
    </row>
    <row r="64" spans="1:19" x14ac:dyDescent="0.2">
      <c r="A64" s="41">
        <v>10255</v>
      </c>
      <c r="B64" s="41">
        <v>1.6650000005029142E-2</v>
      </c>
      <c r="C64" s="5"/>
      <c r="D64" s="42">
        <f t="shared" si="16"/>
        <v>1.0255000000000001</v>
      </c>
      <c r="E64" s="42">
        <f t="shared" si="16"/>
        <v>1.6650000005029142E-2</v>
      </c>
      <c r="F64" s="9">
        <f t="shared" si="9"/>
        <v>1.0516502500000002</v>
      </c>
      <c r="G64" s="9">
        <f t="shared" si="10"/>
        <v>1.0784673313750004</v>
      </c>
      <c r="H64" s="9">
        <f t="shared" si="11"/>
        <v>1.105968248325063</v>
      </c>
      <c r="I64" s="9">
        <f t="shared" si="12"/>
        <v>1.7074575005157386E-2</v>
      </c>
      <c r="J64" s="9">
        <f t="shared" si="13"/>
        <v>1.7509976667788901E-2</v>
      </c>
      <c r="K64" s="9">
        <f t="shared" ca="1" si="17"/>
        <v>1.6974914821102395E-2</v>
      </c>
      <c r="L64" s="9">
        <f t="shared" ca="1" si="14"/>
        <v>1.0556963770391594E-7</v>
      </c>
      <c r="M64" s="9">
        <f t="shared" ca="1" si="6"/>
        <v>157.78276846964002</v>
      </c>
      <c r="N64" s="9">
        <f t="shared" ca="1" si="7"/>
        <v>568.60002300398412</v>
      </c>
      <c r="O64" s="9">
        <f t="shared" ca="1" si="8"/>
        <v>8874.185695798642</v>
      </c>
      <c r="P64" s="5">
        <f t="shared" ca="1" si="15"/>
        <v>-3.2491481607325318E-4</v>
      </c>
      <c r="Q64" s="5"/>
      <c r="R64" s="5"/>
      <c r="S64" s="5"/>
    </row>
    <row r="65" spans="1:19" x14ac:dyDescent="0.2">
      <c r="A65" s="41">
        <v>10295</v>
      </c>
      <c r="B65" s="41">
        <v>1.6450000002805609E-2</v>
      </c>
      <c r="C65" s="5"/>
      <c r="D65" s="42">
        <f t="shared" si="16"/>
        <v>1.0295000000000001</v>
      </c>
      <c r="E65" s="42">
        <f t="shared" si="16"/>
        <v>1.6450000002805609E-2</v>
      </c>
      <c r="F65" s="9">
        <f t="shared" si="9"/>
        <v>1.0598702500000001</v>
      </c>
      <c r="G65" s="9">
        <f t="shared" si="10"/>
        <v>1.0911364223750002</v>
      </c>
      <c r="H65" s="9">
        <f t="shared" si="11"/>
        <v>1.1233249468350628</v>
      </c>
      <c r="I65" s="9">
        <f t="shared" si="12"/>
        <v>1.6935275002888377E-2</v>
      </c>
      <c r="J65" s="9">
        <f t="shared" si="13"/>
        <v>1.7434865615473586E-2</v>
      </c>
      <c r="K65" s="9">
        <f t="shared" ca="1" si="17"/>
        <v>1.7059717845640639E-2</v>
      </c>
      <c r="L65" s="9">
        <f t="shared" ca="1" si="14"/>
        <v>3.7175584787140252E-7</v>
      </c>
      <c r="M65" s="9">
        <f t="shared" ca="1" si="6"/>
        <v>170.78199452944068</v>
      </c>
      <c r="N65" s="9">
        <f t="shared" ca="1" si="7"/>
        <v>659.90369932261763</v>
      </c>
      <c r="O65" s="9">
        <f t="shared" ca="1" si="8"/>
        <v>9433.8920462018741</v>
      </c>
      <c r="P65" s="5">
        <f t="shared" ca="1" si="15"/>
        <v>-6.0971784283503014E-4</v>
      </c>
      <c r="Q65" s="5"/>
      <c r="R65" s="5"/>
      <c r="S65" s="5"/>
    </row>
    <row r="66" spans="1:19" x14ac:dyDescent="0.2">
      <c r="A66" s="41">
        <v>10298</v>
      </c>
      <c r="B66" s="41">
        <v>1.720000000204891E-2</v>
      </c>
      <c r="C66" s="5"/>
      <c r="D66" s="42">
        <f t="shared" si="16"/>
        <v>1.0298</v>
      </c>
      <c r="E66" s="42">
        <f t="shared" si="16"/>
        <v>1.720000000204891E-2</v>
      </c>
      <c r="F66" s="9">
        <f t="shared" si="9"/>
        <v>1.0604880400000001</v>
      </c>
      <c r="G66" s="9">
        <f t="shared" si="10"/>
        <v>1.0920905835920001</v>
      </c>
      <c r="H66" s="9">
        <f t="shared" si="11"/>
        <v>1.1246348829830417</v>
      </c>
      <c r="I66" s="9">
        <f t="shared" si="12"/>
        <v>1.7712560002109967E-2</v>
      </c>
      <c r="J66" s="9">
        <f t="shared" si="13"/>
        <v>1.8240394290172844E-2</v>
      </c>
      <c r="K66" s="9">
        <f t="shared" ca="1" si="17"/>
        <v>1.7066088620844543E-2</v>
      </c>
      <c r="L66" s="9">
        <f t="shared" ca="1" si="14"/>
        <v>1.793225801606133E-8</v>
      </c>
      <c r="M66" s="9">
        <f t="shared" ca="1" si="6"/>
        <v>171.77986559259736</v>
      </c>
      <c r="N66" s="9">
        <f t="shared" ca="1" si="7"/>
        <v>667.05333576497821</v>
      </c>
      <c r="O66" s="9">
        <f t="shared" ca="1" si="8"/>
        <v>9476.7005848281042</v>
      </c>
      <c r="P66" s="5">
        <f t="shared" ca="1" si="15"/>
        <v>1.3391138120436713E-4</v>
      </c>
      <c r="Q66" s="5"/>
      <c r="R66" s="5"/>
      <c r="S66" s="5"/>
    </row>
    <row r="67" spans="1:19" x14ac:dyDescent="0.2">
      <c r="A67" s="41">
        <v>11236</v>
      </c>
      <c r="B67" s="41">
        <v>1.320000000850996E-2</v>
      </c>
      <c r="C67" s="5"/>
      <c r="D67" s="42">
        <f t="shared" si="16"/>
        <v>1.1235999999999999</v>
      </c>
      <c r="E67" s="42">
        <f t="shared" si="16"/>
        <v>1.320000000850996E-2</v>
      </c>
      <c r="F67" s="9">
        <f t="shared" si="9"/>
        <v>1.2624769599999999</v>
      </c>
      <c r="G67" s="9">
        <f t="shared" si="10"/>
        <v>1.4185191122559997</v>
      </c>
      <c r="H67" s="9">
        <f t="shared" si="11"/>
        <v>1.5938480745308412</v>
      </c>
      <c r="I67" s="9">
        <f t="shared" si="12"/>
        <v>1.483152000956179E-2</v>
      </c>
      <c r="J67" s="9">
        <f t="shared" si="13"/>
        <v>1.6664695882743625E-2</v>
      </c>
      <c r="K67" s="9">
        <f t="shared" ca="1" si="17"/>
        <v>1.9130192842069082E-2</v>
      </c>
      <c r="L67" s="9">
        <f t="shared" ca="1" si="14"/>
        <v>3.5167187043195965E-5</v>
      </c>
      <c r="M67" s="9">
        <f t="shared" ca="1" si="6"/>
        <v>655.23695499101757</v>
      </c>
      <c r="N67" s="9">
        <f t="shared" ca="1" si="7"/>
        <v>5317.3975618778977</v>
      </c>
      <c r="O67" s="9">
        <f t="shared" ca="1" si="8"/>
        <v>29280.223079281874</v>
      </c>
      <c r="P67" s="5">
        <f t="shared" ca="1" si="15"/>
        <v>-5.9301928335591218E-3</v>
      </c>
      <c r="Q67" s="5"/>
      <c r="R67" s="5"/>
      <c r="S67" s="5"/>
    </row>
    <row r="68" spans="1:19" x14ac:dyDescent="0.2">
      <c r="A68" s="41">
        <v>11261.5</v>
      </c>
      <c r="B68" s="41">
        <v>2.0824999999604188E-2</v>
      </c>
      <c r="C68" s="5"/>
      <c r="D68" s="42">
        <f t="shared" si="16"/>
        <v>1.12615</v>
      </c>
      <c r="E68" s="42">
        <f t="shared" si="16"/>
        <v>2.0824999999604188E-2</v>
      </c>
      <c r="F68" s="9">
        <f t="shared" si="9"/>
        <v>1.2682138224999999</v>
      </c>
      <c r="G68" s="9">
        <f t="shared" si="10"/>
        <v>1.428198996208375</v>
      </c>
      <c r="H68" s="9">
        <f t="shared" si="11"/>
        <v>1.6083662995800614</v>
      </c>
      <c r="I68" s="9">
        <f t="shared" si="12"/>
        <v>2.3452073749554256E-2</v>
      </c>
      <c r="J68" s="9">
        <f t="shared" si="13"/>
        <v>2.6410552853060525E-2</v>
      </c>
      <c r="K68" s="9">
        <f t="shared" ca="1" si="17"/>
        <v>1.9188315583535821E-2</v>
      </c>
      <c r="L68" s="9">
        <f t="shared" ca="1" si="14"/>
        <v>2.6787358778010504E-6</v>
      </c>
      <c r="M68" s="9">
        <f t="shared" ca="1" si="6"/>
        <v>673.56207267200466</v>
      </c>
      <c r="N68" s="9">
        <f t="shared" ca="1" si="7"/>
        <v>5521.042985017325</v>
      </c>
      <c r="O68" s="9">
        <f t="shared" ca="1" si="8"/>
        <v>30018.186703772324</v>
      </c>
      <c r="P68" s="5">
        <f t="shared" ca="1" si="15"/>
        <v>1.6366844160683666E-3</v>
      </c>
      <c r="Q68" s="5"/>
      <c r="R68" s="5"/>
      <c r="S68" s="5"/>
    </row>
    <row r="69" spans="1:19" x14ac:dyDescent="0.2">
      <c r="A69" s="41"/>
      <c r="B69" s="41"/>
      <c r="C69" s="5"/>
      <c r="D69" s="42">
        <f t="shared" si="16"/>
        <v>0</v>
      </c>
      <c r="E69" s="42">
        <f t="shared" si="16"/>
        <v>0</v>
      </c>
      <c r="F69" s="9">
        <f t="shared" si="9"/>
        <v>0</v>
      </c>
      <c r="G69" s="9">
        <f t="shared" si="10"/>
        <v>0</v>
      </c>
      <c r="H69" s="9">
        <f t="shared" si="11"/>
        <v>0</v>
      </c>
      <c r="I69" s="9">
        <f t="shared" si="12"/>
        <v>0</v>
      </c>
      <c r="J69" s="9">
        <f t="shared" si="13"/>
        <v>0</v>
      </c>
      <c r="K69" s="9">
        <f t="shared" ca="1" si="17"/>
        <v>3.8664530011719117E-3</v>
      </c>
      <c r="L69" s="9">
        <f t="shared" ca="1" si="14"/>
        <v>1.4949458810271284E-5</v>
      </c>
      <c r="M69" s="9">
        <f t="shared" ca="1" si="6"/>
        <v>2415.3430416079664</v>
      </c>
      <c r="N69" s="9">
        <f t="shared" ca="1" si="7"/>
        <v>38.374308978079455</v>
      </c>
      <c r="O69" s="9">
        <f t="shared" ca="1" si="8"/>
        <v>4188.3290364178738</v>
      </c>
      <c r="P69" s="5">
        <f t="shared" ca="1" si="15"/>
        <v>-3.8664530011719117E-3</v>
      </c>
      <c r="Q69" s="5"/>
      <c r="R69" s="5"/>
      <c r="S69" s="5"/>
    </row>
    <row r="70" spans="1:19" x14ac:dyDescent="0.2">
      <c r="A70" s="41"/>
      <c r="B70" s="41"/>
      <c r="C70" s="5"/>
      <c r="D70" s="42">
        <f t="shared" si="16"/>
        <v>0</v>
      </c>
      <c r="E70" s="42">
        <f t="shared" si="16"/>
        <v>0</v>
      </c>
      <c r="F70" s="9">
        <f t="shared" si="9"/>
        <v>0</v>
      </c>
      <c r="G70" s="9">
        <f t="shared" si="10"/>
        <v>0</v>
      </c>
      <c r="H70" s="9">
        <f t="shared" si="11"/>
        <v>0</v>
      </c>
      <c r="I70" s="9">
        <f t="shared" si="12"/>
        <v>0</v>
      </c>
      <c r="J70" s="9">
        <f t="shared" si="13"/>
        <v>0</v>
      </c>
      <c r="K70" s="9">
        <f t="shared" ca="1" si="17"/>
        <v>3.8664530011719117E-3</v>
      </c>
      <c r="L70" s="9">
        <f t="shared" ca="1" si="14"/>
        <v>1.4949458810271284E-5</v>
      </c>
      <c r="M70" s="9">
        <f t="shared" ca="1" si="6"/>
        <v>2415.3430416079664</v>
      </c>
      <c r="N70" s="9">
        <f t="shared" ca="1" si="7"/>
        <v>38.374308978079455</v>
      </c>
      <c r="O70" s="9">
        <f t="shared" ca="1" si="8"/>
        <v>4188.3290364178738</v>
      </c>
      <c r="P70" s="5">
        <f t="shared" ca="1" si="15"/>
        <v>-3.8664530011719117E-3</v>
      </c>
      <c r="Q70" s="5"/>
      <c r="R70" s="5"/>
      <c r="S70" s="5"/>
    </row>
    <row r="71" spans="1:19" x14ac:dyDescent="0.2">
      <c r="A71" s="41"/>
      <c r="B71" s="41"/>
      <c r="C71" s="5"/>
      <c r="D71" s="42">
        <f t="shared" si="16"/>
        <v>0</v>
      </c>
      <c r="E71" s="42">
        <f t="shared" si="16"/>
        <v>0</v>
      </c>
      <c r="F71" s="9">
        <f t="shared" si="9"/>
        <v>0</v>
      </c>
      <c r="G71" s="9">
        <f t="shared" si="10"/>
        <v>0</v>
      </c>
      <c r="H71" s="9">
        <f t="shared" si="11"/>
        <v>0</v>
      </c>
      <c r="I71" s="9">
        <f t="shared" si="12"/>
        <v>0</v>
      </c>
      <c r="J71" s="9">
        <f t="shared" si="13"/>
        <v>0</v>
      </c>
      <c r="K71" s="9">
        <f t="shared" ca="1" si="17"/>
        <v>3.8664530011719117E-3</v>
      </c>
      <c r="L71" s="9">
        <f t="shared" ca="1" si="14"/>
        <v>1.4949458810271284E-5</v>
      </c>
      <c r="M71" s="9">
        <f t="shared" ca="1" si="6"/>
        <v>2415.3430416079664</v>
      </c>
      <c r="N71" s="9">
        <f t="shared" ca="1" si="7"/>
        <v>38.374308978079455</v>
      </c>
      <c r="O71" s="9">
        <f t="shared" ca="1" si="8"/>
        <v>4188.3290364178738</v>
      </c>
      <c r="P71" s="5">
        <f t="shared" ca="1" si="15"/>
        <v>-3.8664530011719117E-3</v>
      </c>
      <c r="Q71" s="5"/>
      <c r="R71" s="5"/>
      <c r="S71" s="5"/>
    </row>
    <row r="72" spans="1:19" x14ac:dyDescent="0.2">
      <c r="A72" s="41"/>
      <c r="B72" s="41"/>
      <c r="C72" s="5"/>
      <c r="D72" s="42">
        <f t="shared" si="16"/>
        <v>0</v>
      </c>
      <c r="E72" s="42">
        <f t="shared" si="16"/>
        <v>0</v>
      </c>
      <c r="F72" s="9">
        <f t="shared" si="9"/>
        <v>0</v>
      </c>
      <c r="G72" s="9">
        <f t="shared" si="10"/>
        <v>0</v>
      </c>
      <c r="H72" s="9">
        <f t="shared" si="11"/>
        <v>0</v>
      </c>
      <c r="I72" s="9">
        <f t="shared" si="12"/>
        <v>0</v>
      </c>
      <c r="J72" s="9">
        <f t="shared" si="13"/>
        <v>0</v>
      </c>
      <c r="K72" s="9">
        <f t="shared" ca="1" si="17"/>
        <v>3.8664530011719117E-3</v>
      </c>
      <c r="L72" s="9">
        <f t="shared" ca="1" si="14"/>
        <v>1.4949458810271284E-5</v>
      </c>
      <c r="M72" s="9">
        <f t="shared" ca="1" si="6"/>
        <v>2415.3430416079664</v>
      </c>
      <c r="N72" s="9">
        <f t="shared" ca="1" si="7"/>
        <v>38.374308978079455</v>
      </c>
      <c r="O72" s="9">
        <f t="shared" ca="1" si="8"/>
        <v>4188.3290364178738</v>
      </c>
      <c r="P72" s="5">
        <f t="shared" ca="1" si="15"/>
        <v>-3.8664530011719117E-3</v>
      </c>
      <c r="Q72" s="5"/>
      <c r="R72" s="5"/>
      <c r="S72" s="5"/>
    </row>
    <row r="73" spans="1:19" x14ac:dyDescent="0.2">
      <c r="A73" s="41"/>
      <c r="B73" s="41"/>
      <c r="C73" s="5"/>
      <c r="D73" s="42">
        <f t="shared" si="16"/>
        <v>0</v>
      </c>
      <c r="E73" s="42">
        <f t="shared" si="16"/>
        <v>0</v>
      </c>
      <c r="F73" s="9">
        <f t="shared" si="9"/>
        <v>0</v>
      </c>
      <c r="G73" s="9">
        <f t="shared" si="10"/>
        <v>0</v>
      </c>
      <c r="H73" s="9">
        <f t="shared" si="11"/>
        <v>0</v>
      </c>
      <c r="I73" s="9">
        <f t="shared" si="12"/>
        <v>0</v>
      </c>
      <c r="J73" s="9">
        <f t="shared" si="13"/>
        <v>0</v>
      </c>
      <c r="K73" s="9">
        <f t="shared" ca="1" si="17"/>
        <v>3.8664530011719117E-3</v>
      </c>
      <c r="L73" s="9">
        <f t="shared" ca="1" si="14"/>
        <v>1.4949458810271284E-5</v>
      </c>
      <c r="M73" s="9">
        <f t="shared" ca="1" si="6"/>
        <v>2415.3430416079664</v>
      </c>
      <c r="N73" s="9">
        <f t="shared" ca="1" si="7"/>
        <v>38.374308978079455</v>
      </c>
      <c r="O73" s="9">
        <f t="shared" ca="1" si="8"/>
        <v>4188.3290364178738</v>
      </c>
      <c r="P73" s="5">
        <f t="shared" ca="1" si="15"/>
        <v>-3.8664530011719117E-3</v>
      </c>
      <c r="Q73" s="5"/>
      <c r="R73" s="5"/>
      <c r="S73" s="5"/>
    </row>
    <row r="74" spans="1:19" x14ac:dyDescent="0.2">
      <c r="A74" s="41"/>
      <c r="B74" s="41"/>
      <c r="C74" s="5"/>
      <c r="D74" s="42">
        <f t="shared" si="16"/>
        <v>0</v>
      </c>
      <c r="E74" s="42">
        <f t="shared" si="16"/>
        <v>0</v>
      </c>
      <c r="F74" s="9">
        <f t="shared" si="9"/>
        <v>0</v>
      </c>
      <c r="G74" s="9">
        <f t="shared" si="10"/>
        <v>0</v>
      </c>
      <c r="H74" s="9">
        <f t="shared" si="11"/>
        <v>0</v>
      </c>
      <c r="I74" s="9">
        <f t="shared" si="12"/>
        <v>0</v>
      </c>
      <c r="J74" s="9">
        <f t="shared" si="13"/>
        <v>0</v>
      </c>
      <c r="K74" s="9">
        <f t="shared" ca="1" si="17"/>
        <v>3.8664530011719117E-3</v>
      </c>
      <c r="L74" s="9">
        <f t="shared" ca="1" si="14"/>
        <v>1.4949458810271284E-5</v>
      </c>
      <c r="M74" s="9">
        <f t="shared" ca="1" si="6"/>
        <v>2415.3430416079664</v>
      </c>
      <c r="N74" s="9">
        <f t="shared" ca="1" si="7"/>
        <v>38.374308978079455</v>
      </c>
      <c r="O74" s="9">
        <f t="shared" ca="1" si="8"/>
        <v>4188.3290364178738</v>
      </c>
      <c r="P74" s="5">
        <f t="shared" ca="1" si="15"/>
        <v>-3.8664530011719117E-3</v>
      </c>
      <c r="Q74" s="5"/>
      <c r="R74" s="5"/>
      <c r="S74" s="5"/>
    </row>
    <row r="75" spans="1:19" x14ac:dyDescent="0.2">
      <c r="A75" s="41"/>
      <c r="B75" s="41"/>
      <c r="C75" s="5"/>
      <c r="D75" s="42">
        <f t="shared" si="16"/>
        <v>0</v>
      </c>
      <c r="E75" s="42">
        <f t="shared" si="16"/>
        <v>0</v>
      </c>
      <c r="F75" s="9">
        <f t="shared" si="9"/>
        <v>0</v>
      </c>
      <c r="G75" s="9">
        <f t="shared" si="10"/>
        <v>0</v>
      </c>
      <c r="H75" s="9">
        <f t="shared" si="11"/>
        <v>0</v>
      </c>
      <c r="I75" s="9">
        <f t="shared" si="12"/>
        <v>0</v>
      </c>
      <c r="J75" s="9">
        <f t="shared" si="13"/>
        <v>0</v>
      </c>
      <c r="K75" s="9">
        <f t="shared" ca="1" si="17"/>
        <v>3.8664530011719117E-3</v>
      </c>
      <c r="L75" s="9">
        <f t="shared" ca="1" si="14"/>
        <v>1.4949458810271284E-5</v>
      </c>
      <c r="M75" s="9">
        <f t="shared" ca="1" si="6"/>
        <v>2415.3430416079664</v>
      </c>
      <c r="N75" s="9">
        <f t="shared" ca="1" si="7"/>
        <v>38.374308978079455</v>
      </c>
      <c r="O75" s="9">
        <f t="shared" ca="1" si="8"/>
        <v>4188.3290364178738</v>
      </c>
      <c r="P75" s="5">
        <f t="shared" ca="1" si="15"/>
        <v>-3.8664530011719117E-3</v>
      </c>
      <c r="Q75" s="5"/>
      <c r="R75" s="5"/>
      <c r="S75" s="5"/>
    </row>
    <row r="76" spans="1:19" x14ac:dyDescent="0.2">
      <c r="A76" s="41"/>
      <c r="B76" s="41"/>
      <c r="C76" s="5"/>
      <c r="D76" s="42">
        <f t="shared" si="16"/>
        <v>0</v>
      </c>
      <c r="E76" s="42">
        <f t="shared" si="16"/>
        <v>0</v>
      </c>
      <c r="F76" s="9">
        <f t="shared" si="9"/>
        <v>0</v>
      </c>
      <c r="G76" s="9">
        <f t="shared" si="10"/>
        <v>0</v>
      </c>
      <c r="H76" s="9">
        <f t="shared" si="11"/>
        <v>0</v>
      </c>
      <c r="I76" s="9">
        <f t="shared" si="12"/>
        <v>0</v>
      </c>
      <c r="J76" s="9">
        <f t="shared" si="13"/>
        <v>0</v>
      </c>
      <c r="K76" s="9">
        <f t="shared" ca="1" si="17"/>
        <v>3.8664530011719117E-3</v>
      </c>
      <c r="L76" s="9">
        <f t="shared" ca="1" si="14"/>
        <v>1.4949458810271284E-5</v>
      </c>
      <c r="M76" s="9">
        <f t="shared" ca="1" si="6"/>
        <v>2415.3430416079664</v>
      </c>
      <c r="N76" s="9">
        <f t="shared" ca="1" si="7"/>
        <v>38.374308978079455</v>
      </c>
      <c r="O76" s="9">
        <f t="shared" ca="1" si="8"/>
        <v>4188.3290364178738</v>
      </c>
      <c r="P76" s="5">
        <f t="shared" ca="1" si="15"/>
        <v>-3.8664530011719117E-3</v>
      </c>
      <c r="Q76" s="5"/>
      <c r="R76" s="5"/>
      <c r="S76" s="5"/>
    </row>
    <row r="77" spans="1:19" x14ac:dyDescent="0.2">
      <c r="A77" s="41"/>
      <c r="B77" s="41"/>
      <c r="C77" s="5"/>
      <c r="D77" s="42">
        <f t="shared" si="16"/>
        <v>0</v>
      </c>
      <c r="E77" s="42">
        <f t="shared" si="16"/>
        <v>0</v>
      </c>
      <c r="F77" s="9">
        <f t="shared" si="9"/>
        <v>0</v>
      </c>
      <c r="G77" s="9">
        <f t="shared" si="10"/>
        <v>0</v>
      </c>
      <c r="H77" s="9">
        <f t="shared" si="11"/>
        <v>0</v>
      </c>
      <c r="I77" s="9">
        <f t="shared" si="12"/>
        <v>0</v>
      </c>
      <c r="J77" s="9">
        <f t="shared" si="13"/>
        <v>0</v>
      </c>
      <c r="K77" s="9">
        <f t="shared" ca="1" si="17"/>
        <v>3.8664530011719117E-3</v>
      </c>
      <c r="L77" s="9">
        <f t="shared" ca="1" si="14"/>
        <v>1.4949458810271284E-5</v>
      </c>
      <c r="M77" s="9">
        <f t="shared" ca="1" si="6"/>
        <v>2415.3430416079664</v>
      </c>
      <c r="N77" s="9">
        <f t="shared" ca="1" si="7"/>
        <v>38.374308978079455</v>
      </c>
      <c r="O77" s="9">
        <f t="shared" ca="1" si="8"/>
        <v>4188.3290364178738</v>
      </c>
      <c r="P77" s="5">
        <f t="shared" ca="1" si="15"/>
        <v>-3.8664530011719117E-3</v>
      </c>
      <c r="Q77" s="5"/>
      <c r="R77" s="5"/>
      <c r="S77" s="5"/>
    </row>
    <row r="78" spans="1:19" x14ac:dyDescent="0.2">
      <c r="A78" s="41"/>
      <c r="B78" s="41"/>
      <c r="C78" s="5"/>
      <c r="D78" s="42">
        <f t="shared" si="16"/>
        <v>0</v>
      </c>
      <c r="E78" s="42">
        <f t="shared" si="16"/>
        <v>0</v>
      </c>
      <c r="F78" s="9">
        <f t="shared" si="9"/>
        <v>0</v>
      </c>
      <c r="G78" s="9">
        <f t="shared" si="10"/>
        <v>0</v>
      </c>
      <c r="H78" s="9">
        <f t="shared" si="11"/>
        <v>0</v>
      </c>
      <c r="I78" s="9">
        <f t="shared" si="12"/>
        <v>0</v>
      </c>
      <c r="J78" s="9">
        <f t="shared" si="13"/>
        <v>0</v>
      </c>
      <c r="K78" s="9">
        <f t="shared" ca="1" si="17"/>
        <v>3.8664530011719117E-3</v>
      </c>
      <c r="L78" s="9">
        <f t="shared" ca="1" si="14"/>
        <v>1.4949458810271284E-5</v>
      </c>
      <c r="M78" s="9">
        <f t="shared" ca="1" si="6"/>
        <v>2415.3430416079664</v>
      </c>
      <c r="N78" s="9">
        <f t="shared" ca="1" si="7"/>
        <v>38.374308978079455</v>
      </c>
      <c r="O78" s="9">
        <f t="shared" ca="1" si="8"/>
        <v>4188.3290364178738</v>
      </c>
      <c r="P78" s="5">
        <f t="shared" ca="1" si="15"/>
        <v>-3.8664530011719117E-3</v>
      </c>
      <c r="Q78" s="5"/>
      <c r="R78" s="5"/>
      <c r="S78" s="5"/>
    </row>
    <row r="79" spans="1:19" x14ac:dyDescent="0.2">
      <c r="A79" s="41"/>
      <c r="B79" s="41"/>
      <c r="C79" s="5"/>
      <c r="D79" s="42">
        <f t="shared" si="16"/>
        <v>0</v>
      </c>
      <c r="E79" s="42">
        <f t="shared" si="16"/>
        <v>0</v>
      </c>
      <c r="F79" s="9">
        <f t="shared" si="9"/>
        <v>0</v>
      </c>
      <c r="G79" s="9">
        <f t="shared" si="10"/>
        <v>0</v>
      </c>
      <c r="H79" s="9">
        <f t="shared" si="11"/>
        <v>0</v>
      </c>
      <c r="I79" s="9">
        <f t="shared" si="12"/>
        <v>0</v>
      </c>
      <c r="J79" s="9">
        <f t="shared" si="13"/>
        <v>0</v>
      </c>
      <c r="K79" s="9">
        <f t="shared" ca="1" si="17"/>
        <v>3.8664530011719117E-3</v>
      </c>
      <c r="L79" s="9">
        <f t="shared" ca="1" si="14"/>
        <v>1.4949458810271284E-5</v>
      </c>
      <c r="M79" s="9">
        <f t="shared" ca="1" si="6"/>
        <v>2415.3430416079664</v>
      </c>
      <c r="N79" s="9">
        <f t="shared" ca="1" si="7"/>
        <v>38.374308978079455</v>
      </c>
      <c r="O79" s="9">
        <f t="shared" ca="1" si="8"/>
        <v>4188.3290364178738</v>
      </c>
      <c r="P79" s="5">
        <f t="shared" ca="1" si="15"/>
        <v>-3.8664530011719117E-3</v>
      </c>
      <c r="Q79" s="5"/>
      <c r="R79" s="5"/>
      <c r="S79" s="5"/>
    </row>
    <row r="80" spans="1:19" x14ac:dyDescent="0.2">
      <c r="A80" s="41"/>
      <c r="B80" s="41"/>
      <c r="C80" s="5"/>
      <c r="D80" s="42">
        <f t="shared" si="16"/>
        <v>0</v>
      </c>
      <c r="E80" s="42">
        <f t="shared" si="16"/>
        <v>0</v>
      </c>
      <c r="F80" s="9">
        <f t="shared" si="9"/>
        <v>0</v>
      </c>
      <c r="G80" s="9">
        <f t="shared" si="10"/>
        <v>0</v>
      </c>
      <c r="H80" s="9">
        <f t="shared" si="11"/>
        <v>0</v>
      </c>
      <c r="I80" s="9">
        <f t="shared" si="12"/>
        <v>0</v>
      </c>
      <c r="J80" s="9">
        <f t="shared" si="13"/>
        <v>0</v>
      </c>
      <c r="K80" s="9">
        <f t="shared" ca="1" si="17"/>
        <v>3.8664530011719117E-3</v>
      </c>
      <c r="L80" s="9">
        <f t="shared" ca="1" si="14"/>
        <v>1.4949458810271284E-5</v>
      </c>
      <c r="M80" s="9">
        <f t="shared" ca="1" si="6"/>
        <v>2415.3430416079664</v>
      </c>
      <c r="N80" s="9">
        <f t="shared" ca="1" si="7"/>
        <v>38.374308978079455</v>
      </c>
      <c r="O80" s="9">
        <f t="shared" ca="1" si="8"/>
        <v>4188.3290364178738</v>
      </c>
      <c r="P80" s="5">
        <f t="shared" ca="1" si="15"/>
        <v>-3.8664530011719117E-3</v>
      </c>
      <c r="Q80" s="5"/>
      <c r="R80" s="5"/>
      <c r="S80" s="5"/>
    </row>
    <row r="81" spans="1:19" x14ac:dyDescent="0.2">
      <c r="A81" s="41"/>
      <c r="B81" s="41"/>
      <c r="C81" s="5"/>
      <c r="D81" s="42">
        <f t="shared" si="16"/>
        <v>0</v>
      </c>
      <c r="E81" s="42">
        <f t="shared" si="16"/>
        <v>0</v>
      </c>
      <c r="F81" s="9">
        <f t="shared" si="9"/>
        <v>0</v>
      </c>
      <c r="G81" s="9">
        <f t="shared" si="10"/>
        <v>0</v>
      </c>
      <c r="H81" s="9">
        <f t="shared" si="11"/>
        <v>0</v>
      </c>
      <c r="I81" s="9">
        <f t="shared" si="12"/>
        <v>0</v>
      </c>
      <c r="J81" s="9">
        <f t="shared" si="13"/>
        <v>0</v>
      </c>
      <c r="K81" s="9">
        <f t="shared" ca="1" si="17"/>
        <v>3.8664530011719117E-3</v>
      </c>
      <c r="L81" s="9">
        <f t="shared" ca="1" si="14"/>
        <v>1.4949458810271284E-5</v>
      </c>
      <c r="M81" s="9">
        <f t="shared" ca="1" si="6"/>
        <v>2415.3430416079664</v>
      </c>
      <c r="N81" s="9">
        <f t="shared" ca="1" si="7"/>
        <v>38.374308978079455</v>
      </c>
      <c r="O81" s="9">
        <f t="shared" ca="1" si="8"/>
        <v>4188.3290364178738</v>
      </c>
      <c r="P81" s="5">
        <f t="shared" ca="1" si="15"/>
        <v>-3.8664530011719117E-3</v>
      </c>
      <c r="Q81" s="5"/>
      <c r="R81" s="5"/>
      <c r="S81" s="5"/>
    </row>
    <row r="82" spans="1:19" x14ac:dyDescent="0.2">
      <c r="A82" s="41"/>
      <c r="B82" s="41"/>
      <c r="C82" s="5"/>
      <c r="D82" s="42">
        <f t="shared" si="16"/>
        <v>0</v>
      </c>
      <c r="E82" s="42">
        <f t="shared" si="16"/>
        <v>0</v>
      </c>
      <c r="F82" s="9">
        <f t="shared" si="9"/>
        <v>0</v>
      </c>
      <c r="G82" s="9">
        <f t="shared" si="10"/>
        <v>0</v>
      </c>
      <c r="H82" s="9">
        <f t="shared" si="11"/>
        <v>0</v>
      </c>
      <c r="I82" s="9">
        <f t="shared" si="12"/>
        <v>0</v>
      </c>
      <c r="J82" s="9">
        <f t="shared" si="13"/>
        <v>0</v>
      </c>
      <c r="K82" s="9">
        <f t="shared" ca="1" si="17"/>
        <v>3.8664530011719117E-3</v>
      </c>
      <c r="L82" s="9">
        <f t="shared" ca="1" si="14"/>
        <v>1.4949458810271284E-5</v>
      </c>
      <c r="M82" s="9">
        <f t="shared" ca="1" si="6"/>
        <v>2415.3430416079664</v>
      </c>
      <c r="N82" s="9">
        <f t="shared" ca="1" si="7"/>
        <v>38.374308978079455</v>
      </c>
      <c r="O82" s="9">
        <f t="shared" ca="1" si="8"/>
        <v>4188.3290364178738</v>
      </c>
      <c r="P82" s="5">
        <f t="shared" ca="1" si="15"/>
        <v>-3.8664530011719117E-3</v>
      </c>
      <c r="Q82" s="5"/>
      <c r="R82" s="5"/>
      <c r="S82" s="5"/>
    </row>
    <row r="83" spans="1:19" x14ac:dyDescent="0.2">
      <c r="A83" s="41"/>
      <c r="B83" s="41"/>
      <c r="C83" s="5"/>
      <c r="D83" s="42">
        <f t="shared" si="16"/>
        <v>0</v>
      </c>
      <c r="E83" s="42">
        <f t="shared" si="16"/>
        <v>0</v>
      </c>
      <c r="F83" s="9">
        <f t="shared" si="9"/>
        <v>0</v>
      </c>
      <c r="G83" s="9">
        <f t="shared" si="10"/>
        <v>0</v>
      </c>
      <c r="H83" s="9">
        <f t="shared" si="11"/>
        <v>0</v>
      </c>
      <c r="I83" s="9">
        <f t="shared" si="12"/>
        <v>0</v>
      </c>
      <c r="J83" s="9">
        <f t="shared" si="13"/>
        <v>0</v>
      </c>
      <c r="K83" s="9">
        <f t="shared" ca="1" si="17"/>
        <v>3.8664530011719117E-3</v>
      </c>
      <c r="L83" s="9">
        <f t="shared" ca="1" si="14"/>
        <v>1.4949458810271284E-5</v>
      </c>
      <c r="M83" s="9">
        <f t="shared" ca="1" si="6"/>
        <v>2415.3430416079664</v>
      </c>
      <c r="N83" s="9">
        <f t="shared" ca="1" si="7"/>
        <v>38.374308978079455</v>
      </c>
      <c r="O83" s="9">
        <f t="shared" ca="1" si="8"/>
        <v>4188.3290364178738</v>
      </c>
      <c r="P83" s="5">
        <f t="shared" ca="1" si="15"/>
        <v>-3.8664530011719117E-3</v>
      </c>
      <c r="Q83" s="5"/>
      <c r="R83" s="5"/>
      <c r="S83" s="5"/>
    </row>
    <row r="84" spans="1:19" x14ac:dyDescent="0.2">
      <c r="A84" s="41"/>
      <c r="B84" s="41"/>
      <c r="C84" s="5"/>
      <c r="D84" s="42">
        <f t="shared" si="16"/>
        <v>0</v>
      </c>
      <c r="E84" s="42">
        <f t="shared" si="16"/>
        <v>0</v>
      </c>
      <c r="F84" s="9">
        <f t="shared" si="9"/>
        <v>0</v>
      </c>
      <c r="G84" s="9">
        <f t="shared" si="10"/>
        <v>0</v>
      </c>
      <c r="H84" s="9">
        <f t="shared" si="11"/>
        <v>0</v>
      </c>
      <c r="I84" s="9">
        <f t="shared" si="12"/>
        <v>0</v>
      </c>
      <c r="J84" s="9">
        <f t="shared" si="13"/>
        <v>0</v>
      </c>
      <c r="K84" s="9">
        <f t="shared" ca="1" si="17"/>
        <v>3.8664530011719117E-3</v>
      </c>
      <c r="L84" s="9">
        <f t="shared" ca="1" si="14"/>
        <v>1.4949458810271284E-5</v>
      </c>
      <c r="M84" s="9">
        <f t="shared" ca="1" si="6"/>
        <v>2415.3430416079664</v>
      </c>
      <c r="N84" s="9">
        <f t="shared" ca="1" si="7"/>
        <v>38.374308978079455</v>
      </c>
      <c r="O84" s="9">
        <f t="shared" ca="1" si="8"/>
        <v>4188.3290364178738</v>
      </c>
      <c r="P84" s="5">
        <f t="shared" ca="1" si="15"/>
        <v>-3.8664530011719117E-3</v>
      </c>
      <c r="Q84" s="5"/>
      <c r="R84" s="5"/>
      <c r="S84" s="5"/>
    </row>
    <row r="85" spans="1:19" x14ac:dyDescent="0.2">
      <c r="A85" s="41"/>
      <c r="B85" s="41"/>
      <c r="C85" s="5"/>
      <c r="D85" s="42">
        <f t="shared" ref="D85:E116" si="18">A85/A$18</f>
        <v>0</v>
      </c>
      <c r="E85" s="42">
        <f t="shared" si="18"/>
        <v>0</v>
      </c>
      <c r="F85" s="9">
        <f t="shared" si="9"/>
        <v>0</v>
      </c>
      <c r="G85" s="9">
        <f t="shared" si="10"/>
        <v>0</v>
      </c>
      <c r="H85" s="9">
        <f t="shared" si="11"/>
        <v>0</v>
      </c>
      <c r="I85" s="9">
        <f t="shared" si="12"/>
        <v>0</v>
      </c>
      <c r="J85" s="9">
        <f t="shared" si="13"/>
        <v>0</v>
      </c>
      <c r="K85" s="9">
        <f t="shared" ref="K85:K116" ca="1" si="19">+E$4+E$5*D85+E$6*D85^2</f>
        <v>3.8664530011719117E-3</v>
      </c>
      <c r="L85" s="9">
        <f t="shared" ca="1" si="14"/>
        <v>1.4949458810271284E-5</v>
      </c>
      <c r="M85" s="9">
        <f t="shared" ref="M85:M145" ca="1" si="20">(M$1-M$2*D85+M$3*F85)^2</f>
        <v>2415.3430416079664</v>
      </c>
      <c r="N85" s="9">
        <f t="shared" ref="N85:N145" ca="1" si="21">(-M$2+M$4*D85-M$5*F85)^2</f>
        <v>38.374308978079455</v>
      </c>
      <c r="O85" s="9">
        <f t="shared" ref="O85:O145" ca="1" si="22">+(M$3-D85*M$5+F85*M$6)^2</f>
        <v>4188.3290364178738</v>
      </c>
      <c r="P85" s="5">
        <f t="shared" ca="1" si="15"/>
        <v>-3.8664530011719117E-3</v>
      </c>
      <c r="Q85" s="5"/>
      <c r="R85" s="5"/>
      <c r="S85" s="5"/>
    </row>
    <row r="86" spans="1:19" x14ac:dyDescent="0.2">
      <c r="A86" s="41"/>
      <c r="B86" s="41"/>
      <c r="C86" s="5"/>
      <c r="D86" s="42">
        <f t="shared" si="18"/>
        <v>0</v>
      </c>
      <c r="E86" s="42">
        <f t="shared" si="18"/>
        <v>0</v>
      </c>
      <c r="F86" s="9">
        <f t="shared" ref="F86:F145" si="23">D86*D86</f>
        <v>0</v>
      </c>
      <c r="G86" s="9">
        <f t="shared" ref="G86:G145" si="24">D86*F86</f>
        <v>0</v>
      </c>
      <c r="H86" s="9">
        <f t="shared" ref="H86:H145" si="25">F86*F86</f>
        <v>0</v>
      </c>
      <c r="I86" s="9">
        <f t="shared" ref="I86:I145" si="26">E86*D86</f>
        <v>0</v>
      </c>
      <c r="J86" s="9">
        <f t="shared" ref="J86:J145" si="27">I86*D86</f>
        <v>0</v>
      </c>
      <c r="K86" s="9">
        <f t="shared" ca="1" si="19"/>
        <v>3.8664530011719117E-3</v>
      </c>
      <c r="L86" s="9">
        <f t="shared" ref="L86:L145" ca="1" si="28">+(K86-E86)^2</f>
        <v>1.4949458810271284E-5</v>
      </c>
      <c r="M86" s="9">
        <f t="shared" ca="1" si="20"/>
        <v>2415.3430416079664</v>
      </c>
      <c r="N86" s="9">
        <f t="shared" ca="1" si="21"/>
        <v>38.374308978079455</v>
      </c>
      <c r="O86" s="9">
        <f t="shared" ca="1" si="22"/>
        <v>4188.3290364178738</v>
      </c>
      <c r="P86" s="5">
        <f t="shared" ref="P86:P145" ca="1" si="29">+E86-K86</f>
        <v>-3.8664530011719117E-3</v>
      </c>
      <c r="Q86" s="5"/>
      <c r="R86" s="5"/>
      <c r="S86" s="5"/>
    </row>
    <row r="87" spans="1:19" x14ac:dyDescent="0.2">
      <c r="A87" s="41"/>
      <c r="B87" s="41"/>
      <c r="C87" s="5"/>
      <c r="D87" s="42">
        <f t="shared" si="18"/>
        <v>0</v>
      </c>
      <c r="E87" s="42">
        <f t="shared" si="18"/>
        <v>0</v>
      </c>
      <c r="F87" s="9">
        <f t="shared" si="23"/>
        <v>0</v>
      </c>
      <c r="G87" s="9">
        <f t="shared" si="24"/>
        <v>0</v>
      </c>
      <c r="H87" s="9">
        <f t="shared" si="25"/>
        <v>0</v>
      </c>
      <c r="I87" s="9">
        <f t="shared" si="26"/>
        <v>0</v>
      </c>
      <c r="J87" s="9">
        <f t="shared" si="27"/>
        <v>0</v>
      </c>
      <c r="K87" s="9">
        <f t="shared" ca="1" si="19"/>
        <v>3.8664530011719117E-3</v>
      </c>
      <c r="L87" s="9">
        <f t="shared" ca="1" si="28"/>
        <v>1.4949458810271284E-5</v>
      </c>
      <c r="M87" s="9">
        <f t="shared" ca="1" si="20"/>
        <v>2415.3430416079664</v>
      </c>
      <c r="N87" s="9">
        <f t="shared" ca="1" si="21"/>
        <v>38.374308978079455</v>
      </c>
      <c r="O87" s="9">
        <f t="shared" ca="1" si="22"/>
        <v>4188.3290364178738</v>
      </c>
      <c r="P87" s="5">
        <f t="shared" ca="1" si="29"/>
        <v>-3.8664530011719117E-3</v>
      </c>
      <c r="Q87" s="5"/>
      <c r="R87" s="5"/>
      <c r="S87" s="5"/>
    </row>
    <row r="88" spans="1:19" x14ac:dyDescent="0.2">
      <c r="A88" s="41"/>
      <c r="B88" s="41"/>
      <c r="C88" s="5"/>
      <c r="D88" s="42">
        <f t="shared" si="18"/>
        <v>0</v>
      </c>
      <c r="E88" s="42">
        <f t="shared" si="18"/>
        <v>0</v>
      </c>
      <c r="F88" s="9">
        <f t="shared" si="23"/>
        <v>0</v>
      </c>
      <c r="G88" s="9">
        <f t="shared" si="24"/>
        <v>0</v>
      </c>
      <c r="H88" s="9">
        <f t="shared" si="25"/>
        <v>0</v>
      </c>
      <c r="I88" s="9">
        <f t="shared" si="26"/>
        <v>0</v>
      </c>
      <c r="J88" s="9">
        <f t="shared" si="27"/>
        <v>0</v>
      </c>
      <c r="K88" s="9">
        <f t="shared" ca="1" si="19"/>
        <v>3.8664530011719117E-3</v>
      </c>
      <c r="L88" s="9">
        <f t="shared" ca="1" si="28"/>
        <v>1.4949458810271284E-5</v>
      </c>
      <c r="M88" s="9">
        <f t="shared" ca="1" si="20"/>
        <v>2415.3430416079664</v>
      </c>
      <c r="N88" s="9">
        <f t="shared" ca="1" si="21"/>
        <v>38.374308978079455</v>
      </c>
      <c r="O88" s="9">
        <f t="shared" ca="1" si="22"/>
        <v>4188.3290364178738</v>
      </c>
      <c r="P88" s="5">
        <f t="shared" ca="1" si="29"/>
        <v>-3.8664530011719117E-3</v>
      </c>
      <c r="Q88" s="5"/>
      <c r="R88" s="5"/>
      <c r="S88" s="5"/>
    </row>
    <row r="89" spans="1:19" x14ac:dyDescent="0.2">
      <c r="A89" s="41"/>
      <c r="B89" s="41"/>
      <c r="C89" s="5"/>
      <c r="D89" s="42">
        <f t="shared" si="18"/>
        <v>0</v>
      </c>
      <c r="E89" s="42">
        <f t="shared" si="18"/>
        <v>0</v>
      </c>
      <c r="F89" s="9">
        <f t="shared" si="23"/>
        <v>0</v>
      </c>
      <c r="G89" s="9">
        <f t="shared" si="24"/>
        <v>0</v>
      </c>
      <c r="H89" s="9">
        <f t="shared" si="25"/>
        <v>0</v>
      </c>
      <c r="I89" s="9">
        <f t="shared" si="26"/>
        <v>0</v>
      </c>
      <c r="J89" s="9">
        <f t="shared" si="27"/>
        <v>0</v>
      </c>
      <c r="K89" s="9">
        <f t="shared" ca="1" si="19"/>
        <v>3.8664530011719117E-3</v>
      </c>
      <c r="L89" s="9">
        <f t="shared" ca="1" si="28"/>
        <v>1.4949458810271284E-5</v>
      </c>
      <c r="M89" s="9">
        <f t="shared" ca="1" si="20"/>
        <v>2415.3430416079664</v>
      </c>
      <c r="N89" s="9">
        <f t="shared" ca="1" si="21"/>
        <v>38.374308978079455</v>
      </c>
      <c r="O89" s="9">
        <f t="shared" ca="1" si="22"/>
        <v>4188.3290364178738</v>
      </c>
      <c r="P89" s="5">
        <f t="shared" ca="1" si="29"/>
        <v>-3.8664530011719117E-3</v>
      </c>
      <c r="Q89" s="5"/>
      <c r="R89" s="5"/>
      <c r="S89" s="5"/>
    </row>
    <row r="90" spans="1:19" x14ac:dyDescent="0.2">
      <c r="A90" s="41"/>
      <c r="B90" s="41"/>
      <c r="C90" s="5"/>
      <c r="D90" s="42">
        <f t="shared" si="18"/>
        <v>0</v>
      </c>
      <c r="E90" s="42">
        <f t="shared" si="18"/>
        <v>0</v>
      </c>
      <c r="F90" s="9">
        <f t="shared" si="23"/>
        <v>0</v>
      </c>
      <c r="G90" s="9">
        <f t="shared" si="24"/>
        <v>0</v>
      </c>
      <c r="H90" s="9">
        <f t="shared" si="25"/>
        <v>0</v>
      </c>
      <c r="I90" s="9">
        <f t="shared" si="26"/>
        <v>0</v>
      </c>
      <c r="J90" s="9">
        <f t="shared" si="27"/>
        <v>0</v>
      </c>
      <c r="K90" s="9">
        <f t="shared" ca="1" si="19"/>
        <v>3.8664530011719117E-3</v>
      </c>
      <c r="L90" s="9">
        <f t="shared" ca="1" si="28"/>
        <v>1.4949458810271284E-5</v>
      </c>
      <c r="M90" s="9">
        <f t="shared" ca="1" si="20"/>
        <v>2415.3430416079664</v>
      </c>
      <c r="N90" s="9">
        <f t="shared" ca="1" si="21"/>
        <v>38.374308978079455</v>
      </c>
      <c r="O90" s="9">
        <f t="shared" ca="1" si="22"/>
        <v>4188.3290364178738</v>
      </c>
      <c r="P90" s="5">
        <f t="shared" ca="1" si="29"/>
        <v>-3.8664530011719117E-3</v>
      </c>
      <c r="Q90" s="5"/>
      <c r="R90" s="5"/>
      <c r="S90" s="5"/>
    </row>
    <row r="91" spans="1:19" x14ac:dyDescent="0.2">
      <c r="A91" s="41"/>
      <c r="B91" s="41"/>
      <c r="C91" s="5"/>
      <c r="D91" s="42">
        <f t="shared" si="18"/>
        <v>0</v>
      </c>
      <c r="E91" s="42">
        <f t="shared" si="18"/>
        <v>0</v>
      </c>
      <c r="F91" s="9">
        <f t="shared" si="23"/>
        <v>0</v>
      </c>
      <c r="G91" s="9">
        <f t="shared" si="24"/>
        <v>0</v>
      </c>
      <c r="H91" s="9">
        <f t="shared" si="25"/>
        <v>0</v>
      </c>
      <c r="I91" s="9">
        <f t="shared" si="26"/>
        <v>0</v>
      </c>
      <c r="J91" s="9">
        <f t="shared" si="27"/>
        <v>0</v>
      </c>
      <c r="K91" s="9">
        <f t="shared" ca="1" si="19"/>
        <v>3.8664530011719117E-3</v>
      </c>
      <c r="L91" s="9">
        <f t="shared" ca="1" si="28"/>
        <v>1.4949458810271284E-5</v>
      </c>
      <c r="M91" s="9">
        <f t="shared" ca="1" si="20"/>
        <v>2415.3430416079664</v>
      </c>
      <c r="N91" s="9">
        <f t="shared" ca="1" si="21"/>
        <v>38.374308978079455</v>
      </c>
      <c r="O91" s="9">
        <f t="shared" ca="1" si="22"/>
        <v>4188.3290364178738</v>
      </c>
      <c r="P91" s="5">
        <f t="shared" ca="1" si="29"/>
        <v>-3.8664530011719117E-3</v>
      </c>
      <c r="Q91" s="5"/>
      <c r="R91" s="5"/>
      <c r="S91" s="5"/>
    </row>
    <row r="92" spans="1:19" x14ac:dyDescent="0.2">
      <c r="A92" s="41"/>
      <c r="B92" s="41"/>
      <c r="C92" s="5"/>
      <c r="D92" s="42">
        <f t="shared" si="18"/>
        <v>0</v>
      </c>
      <c r="E92" s="42">
        <f t="shared" si="18"/>
        <v>0</v>
      </c>
      <c r="F92" s="9">
        <f t="shared" si="23"/>
        <v>0</v>
      </c>
      <c r="G92" s="9">
        <f t="shared" si="24"/>
        <v>0</v>
      </c>
      <c r="H92" s="9">
        <f t="shared" si="25"/>
        <v>0</v>
      </c>
      <c r="I92" s="9">
        <f t="shared" si="26"/>
        <v>0</v>
      </c>
      <c r="J92" s="9">
        <f t="shared" si="27"/>
        <v>0</v>
      </c>
      <c r="K92" s="9">
        <f t="shared" ca="1" si="19"/>
        <v>3.8664530011719117E-3</v>
      </c>
      <c r="L92" s="9">
        <f t="shared" ca="1" si="28"/>
        <v>1.4949458810271284E-5</v>
      </c>
      <c r="M92" s="9">
        <f t="shared" ca="1" si="20"/>
        <v>2415.3430416079664</v>
      </c>
      <c r="N92" s="9">
        <f t="shared" ca="1" si="21"/>
        <v>38.374308978079455</v>
      </c>
      <c r="O92" s="9">
        <f t="shared" ca="1" si="22"/>
        <v>4188.3290364178738</v>
      </c>
      <c r="P92" s="5">
        <f t="shared" ca="1" si="29"/>
        <v>-3.8664530011719117E-3</v>
      </c>
      <c r="Q92" s="5"/>
      <c r="R92" s="5"/>
      <c r="S92" s="5"/>
    </row>
    <row r="93" spans="1:19" x14ac:dyDescent="0.2">
      <c r="A93" s="41"/>
      <c r="B93" s="41"/>
      <c r="C93" s="5"/>
      <c r="D93" s="42">
        <f t="shared" si="18"/>
        <v>0</v>
      </c>
      <c r="E93" s="42">
        <f t="shared" si="18"/>
        <v>0</v>
      </c>
      <c r="F93" s="9">
        <f t="shared" si="23"/>
        <v>0</v>
      </c>
      <c r="G93" s="9">
        <f t="shared" si="24"/>
        <v>0</v>
      </c>
      <c r="H93" s="9">
        <f t="shared" si="25"/>
        <v>0</v>
      </c>
      <c r="I93" s="9">
        <f t="shared" si="26"/>
        <v>0</v>
      </c>
      <c r="J93" s="9">
        <f t="shared" si="27"/>
        <v>0</v>
      </c>
      <c r="K93" s="9">
        <f t="shared" ca="1" si="19"/>
        <v>3.8664530011719117E-3</v>
      </c>
      <c r="L93" s="9">
        <f t="shared" ca="1" si="28"/>
        <v>1.4949458810271284E-5</v>
      </c>
      <c r="M93" s="9">
        <f t="shared" ca="1" si="20"/>
        <v>2415.3430416079664</v>
      </c>
      <c r="N93" s="9">
        <f t="shared" ca="1" si="21"/>
        <v>38.374308978079455</v>
      </c>
      <c r="O93" s="9">
        <f t="shared" ca="1" si="22"/>
        <v>4188.3290364178738</v>
      </c>
      <c r="P93" s="5">
        <f t="shared" ca="1" si="29"/>
        <v>-3.8664530011719117E-3</v>
      </c>
      <c r="Q93" s="5"/>
      <c r="R93" s="5"/>
      <c r="S93" s="5"/>
    </row>
    <row r="94" spans="1:19" x14ac:dyDescent="0.2">
      <c r="A94" s="41"/>
      <c r="B94" s="41"/>
      <c r="C94" s="5"/>
      <c r="D94" s="42">
        <f t="shared" si="18"/>
        <v>0</v>
      </c>
      <c r="E94" s="42">
        <f t="shared" si="18"/>
        <v>0</v>
      </c>
      <c r="F94" s="9">
        <f t="shared" si="23"/>
        <v>0</v>
      </c>
      <c r="G94" s="9">
        <f t="shared" si="24"/>
        <v>0</v>
      </c>
      <c r="H94" s="9">
        <f t="shared" si="25"/>
        <v>0</v>
      </c>
      <c r="I94" s="9">
        <f t="shared" si="26"/>
        <v>0</v>
      </c>
      <c r="J94" s="9">
        <f t="shared" si="27"/>
        <v>0</v>
      </c>
      <c r="K94" s="9">
        <f t="shared" ca="1" si="19"/>
        <v>3.8664530011719117E-3</v>
      </c>
      <c r="L94" s="9">
        <f t="shared" ca="1" si="28"/>
        <v>1.4949458810271284E-5</v>
      </c>
      <c r="M94" s="9">
        <f t="shared" ca="1" si="20"/>
        <v>2415.3430416079664</v>
      </c>
      <c r="N94" s="9">
        <f t="shared" ca="1" si="21"/>
        <v>38.374308978079455</v>
      </c>
      <c r="O94" s="9">
        <f t="shared" ca="1" si="22"/>
        <v>4188.3290364178738</v>
      </c>
      <c r="P94" s="5">
        <f t="shared" ca="1" si="29"/>
        <v>-3.8664530011719117E-3</v>
      </c>
      <c r="Q94" s="5"/>
      <c r="R94" s="5"/>
      <c r="S94" s="5"/>
    </row>
    <row r="95" spans="1:19" x14ac:dyDescent="0.2">
      <c r="A95" s="41"/>
      <c r="B95" s="41"/>
      <c r="C95" s="5"/>
      <c r="D95" s="42">
        <f t="shared" si="18"/>
        <v>0</v>
      </c>
      <c r="E95" s="42">
        <f t="shared" si="18"/>
        <v>0</v>
      </c>
      <c r="F95" s="9">
        <f t="shared" si="23"/>
        <v>0</v>
      </c>
      <c r="G95" s="9">
        <f t="shared" si="24"/>
        <v>0</v>
      </c>
      <c r="H95" s="9">
        <f t="shared" si="25"/>
        <v>0</v>
      </c>
      <c r="I95" s="9">
        <f t="shared" si="26"/>
        <v>0</v>
      </c>
      <c r="J95" s="9">
        <f t="shared" si="27"/>
        <v>0</v>
      </c>
      <c r="K95" s="9">
        <f t="shared" ca="1" si="19"/>
        <v>3.8664530011719117E-3</v>
      </c>
      <c r="L95" s="9">
        <f t="shared" ca="1" si="28"/>
        <v>1.4949458810271284E-5</v>
      </c>
      <c r="M95" s="9">
        <f t="shared" ca="1" si="20"/>
        <v>2415.3430416079664</v>
      </c>
      <c r="N95" s="9">
        <f t="shared" ca="1" si="21"/>
        <v>38.374308978079455</v>
      </c>
      <c r="O95" s="9">
        <f t="shared" ca="1" si="22"/>
        <v>4188.3290364178738</v>
      </c>
      <c r="P95" s="5">
        <f t="shared" ca="1" si="29"/>
        <v>-3.8664530011719117E-3</v>
      </c>
      <c r="Q95" s="5"/>
      <c r="R95" s="5"/>
      <c r="S95" s="5"/>
    </row>
    <row r="96" spans="1:19" x14ac:dyDescent="0.2">
      <c r="A96" s="41"/>
      <c r="B96" s="41"/>
      <c r="C96" s="5"/>
      <c r="D96" s="42">
        <f t="shared" si="18"/>
        <v>0</v>
      </c>
      <c r="E96" s="42">
        <f t="shared" si="18"/>
        <v>0</v>
      </c>
      <c r="F96" s="9">
        <f t="shared" si="23"/>
        <v>0</v>
      </c>
      <c r="G96" s="9">
        <f t="shared" si="24"/>
        <v>0</v>
      </c>
      <c r="H96" s="9">
        <f t="shared" si="25"/>
        <v>0</v>
      </c>
      <c r="I96" s="9">
        <f t="shared" si="26"/>
        <v>0</v>
      </c>
      <c r="J96" s="9">
        <f t="shared" si="27"/>
        <v>0</v>
      </c>
      <c r="K96" s="9">
        <f t="shared" ca="1" si="19"/>
        <v>3.8664530011719117E-3</v>
      </c>
      <c r="L96" s="9">
        <f t="shared" ca="1" si="28"/>
        <v>1.4949458810271284E-5</v>
      </c>
      <c r="M96" s="9">
        <f t="shared" ca="1" si="20"/>
        <v>2415.3430416079664</v>
      </c>
      <c r="N96" s="9">
        <f t="shared" ca="1" si="21"/>
        <v>38.374308978079455</v>
      </c>
      <c r="O96" s="9">
        <f t="shared" ca="1" si="22"/>
        <v>4188.3290364178738</v>
      </c>
      <c r="P96" s="5">
        <f t="shared" ca="1" si="29"/>
        <v>-3.8664530011719117E-3</v>
      </c>
      <c r="Q96" s="5"/>
      <c r="R96" s="5"/>
      <c r="S96" s="5"/>
    </row>
    <row r="97" spans="1:19" x14ac:dyDescent="0.2">
      <c r="A97" s="41"/>
      <c r="B97" s="41"/>
      <c r="C97" s="5"/>
      <c r="D97" s="42">
        <f t="shared" si="18"/>
        <v>0</v>
      </c>
      <c r="E97" s="42">
        <f t="shared" si="18"/>
        <v>0</v>
      </c>
      <c r="F97" s="9">
        <f t="shared" si="23"/>
        <v>0</v>
      </c>
      <c r="G97" s="9">
        <f t="shared" si="24"/>
        <v>0</v>
      </c>
      <c r="H97" s="9">
        <f t="shared" si="25"/>
        <v>0</v>
      </c>
      <c r="I97" s="9">
        <f t="shared" si="26"/>
        <v>0</v>
      </c>
      <c r="J97" s="9">
        <f t="shared" si="27"/>
        <v>0</v>
      </c>
      <c r="K97" s="9">
        <f t="shared" ca="1" si="19"/>
        <v>3.8664530011719117E-3</v>
      </c>
      <c r="L97" s="9">
        <f t="shared" ca="1" si="28"/>
        <v>1.4949458810271284E-5</v>
      </c>
      <c r="M97" s="9">
        <f t="shared" ca="1" si="20"/>
        <v>2415.3430416079664</v>
      </c>
      <c r="N97" s="9">
        <f t="shared" ca="1" si="21"/>
        <v>38.374308978079455</v>
      </c>
      <c r="O97" s="9">
        <f t="shared" ca="1" si="22"/>
        <v>4188.3290364178738</v>
      </c>
      <c r="P97" s="5">
        <f t="shared" ca="1" si="29"/>
        <v>-3.8664530011719117E-3</v>
      </c>
      <c r="Q97" s="5"/>
      <c r="R97" s="5"/>
      <c r="S97" s="5"/>
    </row>
    <row r="98" spans="1:19" x14ac:dyDescent="0.2">
      <c r="A98" s="41"/>
      <c r="B98" s="41"/>
      <c r="C98" s="5"/>
      <c r="D98" s="42">
        <f t="shared" si="18"/>
        <v>0</v>
      </c>
      <c r="E98" s="42">
        <f t="shared" si="18"/>
        <v>0</v>
      </c>
      <c r="F98" s="9">
        <f t="shared" si="23"/>
        <v>0</v>
      </c>
      <c r="G98" s="9">
        <f t="shared" si="24"/>
        <v>0</v>
      </c>
      <c r="H98" s="9">
        <f t="shared" si="25"/>
        <v>0</v>
      </c>
      <c r="I98" s="9">
        <f t="shared" si="26"/>
        <v>0</v>
      </c>
      <c r="J98" s="9">
        <f t="shared" si="27"/>
        <v>0</v>
      </c>
      <c r="K98" s="9">
        <f t="shared" ca="1" si="19"/>
        <v>3.8664530011719117E-3</v>
      </c>
      <c r="L98" s="9">
        <f t="shared" ca="1" si="28"/>
        <v>1.4949458810271284E-5</v>
      </c>
      <c r="M98" s="9">
        <f t="shared" ca="1" si="20"/>
        <v>2415.3430416079664</v>
      </c>
      <c r="N98" s="9">
        <f t="shared" ca="1" si="21"/>
        <v>38.374308978079455</v>
      </c>
      <c r="O98" s="9">
        <f t="shared" ca="1" si="22"/>
        <v>4188.3290364178738</v>
      </c>
      <c r="P98" s="5">
        <f t="shared" ca="1" si="29"/>
        <v>-3.8664530011719117E-3</v>
      </c>
      <c r="Q98" s="5"/>
      <c r="R98" s="5"/>
      <c r="S98" s="5"/>
    </row>
    <row r="99" spans="1:19" x14ac:dyDescent="0.2">
      <c r="A99" s="41"/>
      <c r="B99" s="41"/>
      <c r="C99" s="5"/>
      <c r="D99" s="42">
        <f t="shared" si="18"/>
        <v>0</v>
      </c>
      <c r="E99" s="42">
        <f t="shared" si="18"/>
        <v>0</v>
      </c>
      <c r="F99" s="9">
        <f t="shared" si="23"/>
        <v>0</v>
      </c>
      <c r="G99" s="9">
        <f t="shared" si="24"/>
        <v>0</v>
      </c>
      <c r="H99" s="9">
        <f t="shared" si="25"/>
        <v>0</v>
      </c>
      <c r="I99" s="9">
        <f t="shared" si="26"/>
        <v>0</v>
      </c>
      <c r="J99" s="9">
        <f t="shared" si="27"/>
        <v>0</v>
      </c>
      <c r="K99" s="9">
        <f t="shared" ca="1" si="19"/>
        <v>3.8664530011719117E-3</v>
      </c>
      <c r="L99" s="9">
        <f t="shared" ca="1" si="28"/>
        <v>1.4949458810271284E-5</v>
      </c>
      <c r="M99" s="9">
        <f t="shared" ca="1" si="20"/>
        <v>2415.3430416079664</v>
      </c>
      <c r="N99" s="9">
        <f t="shared" ca="1" si="21"/>
        <v>38.374308978079455</v>
      </c>
      <c r="O99" s="9">
        <f t="shared" ca="1" si="22"/>
        <v>4188.3290364178738</v>
      </c>
      <c r="P99" s="5">
        <f t="shared" ca="1" si="29"/>
        <v>-3.8664530011719117E-3</v>
      </c>
      <c r="Q99" s="5"/>
      <c r="R99" s="5"/>
      <c r="S99" s="5"/>
    </row>
    <row r="100" spans="1:19" x14ac:dyDescent="0.2">
      <c r="A100" s="41"/>
      <c r="B100" s="41"/>
      <c r="C100" s="5"/>
      <c r="D100" s="42">
        <f t="shared" si="18"/>
        <v>0</v>
      </c>
      <c r="E100" s="42">
        <f t="shared" si="18"/>
        <v>0</v>
      </c>
      <c r="F100" s="9">
        <f t="shared" si="23"/>
        <v>0</v>
      </c>
      <c r="G100" s="9">
        <f t="shared" si="24"/>
        <v>0</v>
      </c>
      <c r="H100" s="9">
        <f t="shared" si="25"/>
        <v>0</v>
      </c>
      <c r="I100" s="9">
        <f t="shared" si="26"/>
        <v>0</v>
      </c>
      <c r="J100" s="9">
        <f t="shared" si="27"/>
        <v>0</v>
      </c>
      <c r="K100" s="9">
        <f t="shared" ca="1" si="19"/>
        <v>3.8664530011719117E-3</v>
      </c>
      <c r="L100" s="9">
        <f t="shared" ca="1" si="28"/>
        <v>1.4949458810271284E-5</v>
      </c>
      <c r="M100" s="9">
        <f t="shared" ca="1" si="20"/>
        <v>2415.3430416079664</v>
      </c>
      <c r="N100" s="9">
        <f t="shared" ca="1" si="21"/>
        <v>38.374308978079455</v>
      </c>
      <c r="O100" s="9">
        <f t="shared" ca="1" si="22"/>
        <v>4188.3290364178738</v>
      </c>
      <c r="P100" s="5">
        <f t="shared" ca="1" si="29"/>
        <v>-3.8664530011719117E-3</v>
      </c>
      <c r="Q100" s="5"/>
      <c r="R100" s="5"/>
      <c r="S100" s="5"/>
    </row>
    <row r="101" spans="1:19" x14ac:dyDescent="0.2">
      <c r="A101" s="41"/>
      <c r="B101" s="41"/>
      <c r="C101" s="5"/>
      <c r="D101" s="42">
        <f t="shared" si="18"/>
        <v>0</v>
      </c>
      <c r="E101" s="42">
        <f t="shared" si="18"/>
        <v>0</v>
      </c>
      <c r="F101" s="9">
        <f t="shared" si="23"/>
        <v>0</v>
      </c>
      <c r="G101" s="9">
        <f t="shared" si="24"/>
        <v>0</v>
      </c>
      <c r="H101" s="9">
        <f t="shared" si="25"/>
        <v>0</v>
      </c>
      <c r="I101" s="9">
        <f t="shared" si="26"/>
        <v>0</v>
      </c>
      <c r="J101" s="9">
        <f t="shared" si="27"/>
        <v>0</v>
      </c>
      <c r="K101" s="9">
        <f t="shared" ca="1" si="19"/>
        <v>3.8664530011719117E-3</v>
      </c>
      <c r="L101" s="9">
        <f t="shared" ca="1" si="28"/>
        <v>1.4949458810271284E-5</v>
      </c>
      <c r="M101" s="9">
        <f t="shared" ca="1" si="20"/>
        <v>2415.3430416079664</v>
      </c>
      <c r="N101" s="9">
        <f t="shared" ca="1" si="21"/>
        <v>38.374308978079455</v>
      </c>
      <c r="O101" s="9">
        <f t="shared" ca="1" si="22"/>
        <v>4188.3290364178738</v>
      </c>
      <c r="P101" s="5">
        <f t="shared" ca="1" si="29"/>
        <v>-3.8664530011719117E-3</v>
      </c>
      <c r="Q101" s="5"/>
      <c r="R101" s="5"/>
      <c r="S101" s="5"/>
    </row>
    <row r="102" spans="1:19" x14ac:dyDescent="0.2">
      <c r="A102" s="41"/>
      <c r="B102" s="41"/>
      <c r="C102" s="5"/>
      <c r="D102" s="42">
        <f t="shared" si="18"/>
        <v>0</v>
      </c>
      <c r="E102" s="42">
        <f t="shared" si="18"/>
        <v>0</v>
      </c>
      <c r="F102" s="9">
        <f t="shared" si="23"/>
        <v>0</v>
      </c>
      <c r="G102" s="9">
        <f t="shared" si="24"/>
        <v>0</v>
      </c>
      <c r="H102" s="9">
        <f t="shared" si="25"/>
        <v>0</v>
      </c>
      <c r="I102" s="9">
        <f t="shared" si="26"/>
        <v>0</v>
      </c>
      <c r="J102" s="9">
        <f t="shared" si="27"/>
        <v>0</v>
      </c>
      <c r="K102" s="9">
        <f t="shared" ca="1" si="19"/>
        <v>3.8664530011719117E-3</v>
      </c>
      <c r="L102" s="9">
        <f t="shared" ca="1" si="28"/>
        <v>1.4949458810271284E-5</v>
      </c>
      <c r="M102" s="9">
        <f t="shared" ca="1" si="20"/>
        <v>2415.3430416079664</v>
      </c>
      <c r="N102" s="9">
        <f t="shared" ca="1" si="21"/>
        <v>38.374308978079455</v>
      </c>
      <c r="O102" s="9">
        <f t="shared" ca="1" si="22"/>
        <v>4188.3290364178738</v>
      </c>
      <c r="P102" s="5">
        <f t="shared" ca="1" si="29"/>
        <v>-3.8664530011719117E-3</v>
      </c>
      <c r="Q102" s="5"/>
      <c r="R102" s="5"/>
      <c r="S102" s="5"/>
    </row>
    <row r="103" spans="1:19" x14ac:dyDescent="0.2">
      <c r="A103" s="41"/>
      <c r="B103" s="41"/>
      <c r="C103" s="5"/>
      <c r="D103" s="42">
        <f t="shared" si="18"/>
        <v>0</v>
      </c>
      <c r="E103" s="42">
        <f t="shared" si="18"/>
        <v>0</v>
      </c>
      <c r="F103" s="9">
        <f t="shared" si="23"/>
        <v>0</v>
      </c>
      <c r="G103" s="9">
        <f t="shared" si="24"/>
        <v>0</v>
      </c>
      <c r="H103" s="9">
        <f t="shared" si="25"/>
        <v>0</v>
      </c>
      <c r="I103" s="9">
        <f t="shared" si="26"/>
        <v>0</v>
      </c>
      <c r="J103" s="9">
        <f t="shared" si="27"/>
        <v>0</v>
      </c>
      <c r="K103" s="9">
        <f t="shared" ca="1" si="19"/>
        <v>3.8664530011719117E-3</v>
      </c>
      <c r="L103" s="9">
        <f t="shared" ca="1" si="28"/>
        <v>1.4949458810271284E-5</v>
      </c>
      <c r="M103" s="9">
        <f t="shared" ca="1" si="20"/>
        <v>2415.3430416079664</v>
      </c>
      <c r="N103" s="9">
        <f t="shared" ca="1" si="21"/>
        <v>38.374308978079455</v>
      </c>
      <c r="O103" s="9">
        <f t="shared" ca="1" si="22"/>
        <v>4188.3290364178738</v>
      </c>
      <c r="P103" s="5">
        <f t="shared" ca="1" si="29"/>
        <v>-3.8664530011719117E-3</v>
      </c>
      <c r="Q103" s="5"/>
      <c r="R103" s="5"/>
      <c r="S103" s="5"/>
    </row>
    <row r="104" spans="1:19" x14ac:dyDescent="0.2">
      <c r="A104" s="41"/>
      <c r="B104" s="41"/>
      <c r="C104" s="5"/>
      <c r="D104" s="42">
        <f t="shared" si="18"/>
        <v>0</v>
      </c>
      <c r="E104" s="42">
        <f t="shared" si="18"/>
        <v>0</v>
      </c>
      <c r="F104" s="9">
        <f t="shared" si="23"/>
        <v>0</v>
      </c>
      <c r="G104" s="9">
        <f t="shared" si="24"/>
        <v>0</v>
      </c>
      <c r="H104" s="9">
        <f t="shared" si="25"/>
        <v>0</v>
      </c>
      <c r="I104" s="9">
        <f t="shared" si="26"/>
        <v>0</v>
      </c>
      <c r="J104" s="9">
        <f t="shared" si="27"/>
        <v>0</v>
      </c>
      <c r="K104" s="9">
        <f t="shared" ca="1" si="19"/>
        <v>3.8664530011719117E-3</v>
      </c>
      <c r="L104" s="9">
        <f t="shared" ca="1" si="28"/>
        <v>1.4949458810271284E-5</v>
      </c>
      <c r="M104" s="9">
        <f t="shared" ca="1" si="20"/>
        <v>2415.3430416079664</v>
      </c>
      <c r="N104" s="9">
        <f t="shared" ca="1" si="21"/>
        <v>38.374308978079455</v>
      </c>
      <c r="O104" s="9">
        <f t="shared" ca="1" si="22"/>
        <v>4188.3290364178738</v>
      </c>
      <c r="P104" s="5">
        <f t="shared" ca="1" si="29"/>
        <v>-3.8664530011719117E-3</v>
      </c>
      <c r="Q104" s="5"/>
      <c r="R104" s="5"/>
      <c r="S104" s="5"/>
    </row>
    <row r="105" spans="1:19" x14ac:dyDescent="0.2">
      <c r="A105" s="41"/>
      <c r="B105" s="41"/>
      <c r="C105" s="5"/>
      <c r="D105" s="42">
        <f t="shared" si="18"/>
        <v>0</v>
      </c>
      <c r="E105" s="42">
        <f t="shared" si="18"/>
        <v>0</v>
      </c>
      <c r="F105" s="9">
        <f t="shared" si="23"/>
        <v>0</v>
      </c>
      <c r="G105" s="9">
        <f t="shared" si="24"/>
        <v>0</v>
      </c>
      <c r="H105" s="9">
        <f t="shared" si="25"/>
        <v>0</v>
      </c>
      <c r="I105" s="9">
        <f t="shared" si="26"/>
        <v>0</v>
      </c>
      <c r="J105" s="9">
        <f t="shared" si="27"/>
        <v>0</v>
      </c>
      <c r="K105" s="9">
        <f t="shared" ca="1" si="19"/>
        <v>3.8664530011719117E-3</v>
      </c>
      <c r="L105" s="9">
        <f t="shared" ca="1" si="28"/>
        <v>1.4949458810271284E-5</v>
      </c>
      <c r="M105" s="9">
        <f t="shared" ca="1" si="20"/>
        <v>2415.3430416079664</v>
      </c>
      <c r="N105" s="9">
        <f t="shared" ca="1" si="21"/>
        <v>38.374308978079455</v>
      </c>
      <c r="O105" s="9">
        <f t="shared" ca="1" si="22"/>
        <v>4188.3290364178738</v>
      </c>
      <c r="P105" s="5">
        <f t="shared" ca="1" si="29"/>
        <v>-3.8664530011719117E-3</v>
      </c>
      <c r="Q105" s="5"/>
      <c r="R105" s="5"/>
      <c r="S105" s="5"/>
    </row>
    <row r="106" spans="1:19" x14ac:dyDescent="0.2">
      <c r="A106" s="41"/>
      <c r="B106" s="41"/>
      <c r="C106" s="5"/>
      <c r="D106" s="42">
        <f t="shared" si="18"/>
        <v>0</v>
      </c>
      <c r="E106" s="42">
        <f t="shared" si="18"/>
        <v>0</v>
      </c>
      <c r="F106" s="9">
        <f t="shared" si="23"/>
        <v>0</v>
      </c>
      <c r="G106" s="9">
        <f t="shared" si="24"/>
        <v>0</v>
      </c>
      <c r="H106" s="9">
        <f t="shared" si="25"/>
        <v>0</v>
      </c>
      <c r="I106" s="9">
        <f t="shared" si="26"/>
        <v>0</v>
      </c>
      <c r="J106" s="9">
        <f t="shared" si="27"/>
        <v>0</v>
      </c>
      <c r="K106" s="9">
        <f t="shared" ca="1" si="19"/>
        <v>3.8664530011719117E-3</v>
      </c>
      <c r="L106" s="9">
        <f t="shared" ca="1" si="28"/>
        <v>1.4949458810271284E-5</v>
      </c>
      <c r="M106" s="9">
        <f t="shared" ca="1" si="20"/>
        <v>2415.3430416079664</v>
      </c>
      <c r="N106" s="9">
        <f t="shared" ca="1" si="21"/>
        <v>38.374308978079455</v>
      </c>
      <c r="O106" s="9">
        <f t="shared" ca="1" si="22"/>
        <v>4188.3290364178738</v>
      </c>
      <c r="P106" s="5">
        <f t="shared" ca="1" si="29"/>
        <v>-3.8664530011719117E-3</v>
      </c>
      <c r="Q106" s="5"/>
      <c r="R106" s="5"/>
      <c r="S106" s="5"/>
    </row>
    <row r="107" spans="1:19" x14ac:dyDescent="0.2">
      <c r="A107" s="41"/>
      <c r="B107" s="41"/>
      <c r="C107" s="5"/>
      <c r="D107" s="42">
        <f t="shared" si="18"/>
        <v>0</v>
      </c>
      <c r="E107" s="42">
        <f t="shared" si="18"/>
        <v>0</v>
      </c>
      <c r="F107" s="9">
        <f t="shared" si="23"/>
        <v>0</v>
      </c>
      <c r="G107" s="9">
        <f t="shared" si="24"/>
        <v>0</v>
      </c>
      <c r="H107" s="9">
        <f t="shared" si="25"/>
        <v>0</v>
      </c>
      <c r="I107" s="9">
        <f t="shared" si="26"/>
        <v>0</v>
      </c>
      <c r="J107" s="9">
        <f t="shared" si="27"/>
        <v>0</v>
      </c>
      <c r="K107" s="9">
        <f t="shared" ca="1" si="19"/>
        <v>3.8664530011719117E-3</v>
      </c>
      <c r="L107" s="9">
        <f t="shared" ca="1" si="28"/>
        <v>1.4949458810271284E-5</v>
      </c>
      <c r="M107" s="9">
        <f t="shared" ca="1" si="20"/>
        <v>2415.3430416079664</v>
      </c>
      <c r="N107" s="9">
        <f t="shared" ca="1" si="21"/>
        <v>38.374308978079455</v>
      </c>
      <c r="O107" s="9">
        <f t="shared" ca="1" si="22"/>
        <v>4188.3290364178738</v>
      </c>
      <c r="P107" s="5">
        <f t="shared" ca="1" si="29"/>
        <v>-3.8664530011719117E-3</v>
      </c>
      <c r="Q107" s="5"/>
      <c r="R107" s="5"/>
      <c r="S107" s="5"/>
    </row>
    <row r="108" spans="1:19" x14ac:dyDescent="0.2">
      <c r="A108" s="41"/>
      <c r="B108" s="41"/>
      <c r="C108" s="5"/>
      <c r="D108" s="42">
        <f t="shared" si="18"/>
        <v>0</v>
      </c>
      <c r="E108" s="42">
        <f t="shared" si="18"/>
        <v>0</v>
      </c>
      <c r="F108" s="9">
        <f t="shared" si="23"/>
        <v>0</v>
      </c>
      <c r="G108" s="9">
        <f t="shared" si="24"/>
        <v>0</v>
      </c>
      <c r="H108" s="9">
        <f t="shared" si="25"/>
        <v>0</v>
      </c>
      <c r="I108" s="9">
        <f t="shared" si="26"/>
        <v>0</v>
      </c>
      <c r="J108" s="9">
        <f t="shared" si="27"/>
        <v>0</v>
      </c>
      <c r="K108" s="9">
        <f t="shared" ca="1" si="19"/>
        <v>3.8664530011719117E-3</v>
      </c>
      <c r="L108" s="9">
        <f t="shared" ca="1" si="28"/>
        <v>1.4949458810271284E-5</v>
      </c>
      <c r="M108" s="9">
        <f t="shared" ca="1" si="20"/>
        <v>2415.3430416079664</v>
      </c>
      <c r="N108" s="9">
        <f t="shared" ca="1" si="21"/>
        <v>38.374308978079455</v>
      </c>
      <c r="O108" s="9">
        <f t="shared" ca="1" si="22"/>
        <v>4188.3290364178738</v>
      </c>
      <c r="P108" s="5">
        <f t="shared" ca="1" si="29"/>
        <v>-3.8664530011719117E-3</v>
      </c>
      <c r="Q108" s="5"/>
      <c r="R108" s="5"/>
      <c r="S108" s="5"/>
    </row>
    <row r="109" spans="1:19" x14ac:dyDescent="0.2">
      <c r="A109" s="41"/>
      <c r="B109" s="41"/>
      <c r="C109" s="5"/>
      <c r="D109" s="42">
        <f t="shared" si="18"/>
        <v>0</v>
      </c>
      <c r="E109" s="42">
        <f t="shared" si="18"/>
        <v>0</v>
      </c>
      <c r="F109" s="9">
        <f t="shared" si="23"/>
        <v>0</v>
      </c>
      <c r="G109" s="9">
        <f t="shared" si="24"/>
        <v>0</v>
      </c>
      <c r="H109" s="9">
        <f t="shared" si="25"/>
        <v>0</v>
      </c>
      <c r="I109" s="9">
        <f t="shared" si="26"/>
        <v>0</v>
      </c>
      <c r="J109" s="9">
        <f t="shared" si="27"/>
        <v>0</v>
      </c>
      <c r="K109" s="9">
        <f t="shared" ca="1" si="19"/>
        <v>3.8664530011719117E-3</v>
      </c>
      <c r="L109" s="9">
        <f t="shared" ca="1" si="28"/>
        <v>1.4949458810271284E-5</v>
      </c>
      <c r="M109" s="9">
        <f t="shared" ca="1" si="20"/>
        <v>2415.3430416079664</v>
      </c>
      <c r="N109" s="9">
        <f t="shared" ca="1" si="21"/>
        <v>38.374308978079455</v>
      </c>
      <c r="O109" s="9">
        <f t="shared" ca="1" si="22"/>
        <v>4188.3290364178738</v>
      </c>
      <c r="P109" s="5">
        <f t="shared" ca="1" si="29"/>
        <v>-3.8664530011719117E-3</v>
      </c>
      <c r="Q109" s="5"/>
      <c r="R109" s="5"/>
      <c r="S109" s="5"/>
    </row>
    <row r="110" spans="1:19" x14ac:dyDescent="0.2">
      <c r="A110" s="41"/>
      <c r="B110" s="41"/>
      <c r="C110" s="5"/>
      <c r="D110" s="42">
        <f t="shared" si="18"/>
        <v>0</v>
      </c>
      <c r="E110" s="42">
        <f t="shared" si="18"/>
        <v>0</v>
      </c>
      <c r="F110" s="9">
        <f t="shared" si="23"/>
        <v>0</v>
      </c>
      <c r="G110" s="9">
        <f t="shared" si="24"/>
        <v>0</v>
      </c>
      <c r="H110" s="9">
        <f t="shared" si="25"/>
        <v>0</v>
      </c>
      <c r="I110" s="9">
        <f t="shared" si="26"/>
        <v>0</v>
      </c>
      <c r="J110" s="9">
        <f t="shared" si="27"/>
        <v>0</v>
      </c>
      <c r="K110" s="9">
        <f t="shared" ca="1" si="19"/>
        <v>3.8664530011719117E-3</v>
      </c>
      <c r="L110" s="9">
        <f t="shared" ca="1" si="28"/>
        <v>1.4949458810271284E-5</v>
      </c>
      <c r="M110" s="9">
        <f t="shared" ca="1" si="20"/>
        <v>2415.3430416079664</v>
      </c>
      <c r="N110" s="9">
        <f t="shared" ca="1" si="21"/>
        <v>38.374308978079455</v>
      </c>
      <c r="O110" s="9">
        <f t="shared" ca="1" si="22"/>
        <v>4188.3290364178738</v>
      </c>
      <c r="P110" s="5">
        <f t="shared" ca="1" si="29"/>
        <v>-3.8664530011719117E-3</v>
      </c>
      <c r="Q110" s="5"/>
      <c r="R110" s="5"/>
      <c r="S110" s="5"/>
    </row>
    <row r="111" spans="1:19" x14ac:dyDescent="0.2">
      <c r="A111" s="41"/>
      <c r="B111" s="41"/>
      <c r="C111" s="5"/>
      <c r="D111" s="42">
        <f t="shared" si="18"/>
        <v>0</v>
      </c>
      <c r="E111" s="42">
        <f t="shared" si="18"/>
        <v>0</v>
      </c>
      <c r="F111" s="9">
        <f t="shared" si="23"/>
        <v>0</v>
      </c>
      <c r="G111" s="9">
        <f t="shared" si="24"/>
        <v>0</v>
      </c>
      <c r="H111" s="9">
        <f t="shared" si="25"/>
        <v>0</v>
      </c>
      <c r="I111" s="9">
        <f t="shared" si="26"/>
        <v>0</v>
      </c>
      <c r="J111" s="9">
        <f t="shared" si="27"/>
        <v>0</v>
      </c>
      <c r="K111" s="9">
        <f t="shared" ca="1" si="19"/>
        <v>3.8664530011719117E-3</v>
      </c>
      <c r="L111" s="9">
        <f t="shared" ca="1" si="28"/>
        <v>1.4949458810271284E-5</v>
      </c>
      <c r="M111" s="9">
        <f t="shared" ca="1" si="20"/>
        <v>2415.3430416079664</v>
      </c>
      <c r="N111" s="9">
        <f t="shared" ca="1" si="21"/>
        <v>38.374308978079455</v>
      </c>
      <c r="O111" s="9">
        <f t="shared" ca="1" si="22"/>
        <v>4188.3290364178738</v>
      </c>
      <c r="P111" s="5">
        <f t="shared" ca="1" si="29"/>
        <v>-3.8664530011719117E-3</v>
      </c>
      <c r="Q111" s="5"/>
      <c r="R111" s="5"/>
      <c r="S111" s="5"/>
    </row>
    <row r="112" spans="1:19" x14ac:dyDescent="0.2">
      <c r="A112" s="41"/>
      <c r="B112" s="41"/>
      <c r="C112" s="5"/>
      <c r="D112" s="42">
        <f t="shared" si="18"/>
        <v>0</v>
      </c>
      <c r="E112" s="42">
        <f t="shared" si="18"/>
        <v>0</v>
      </c>
      <c r="F112" s="9">
        <f t="shared" si="23"/>
        <v>0</v>
      </c>
      <c r="G112" s="9">
        <f t="shared" si="24"/>
        <v>0</v>
      </c>
      <c r="H112" s="9">
        <f t="shared" si="25"/>
        <v>0</v>
      </c>
      <c r="I112" s="9">
        <f t="shared" si="26"/>
        <v>0</v>
      </c>
      <c r="J112" s="9">
        <f t="shared" si="27"/>
        <v>0</v>
      </c>
      <c r="K112" s="9">
        <f t="shared" ca="1" si="19"/>
        <v>3.8664530011719117E-3</v>
      </c>
      <c r="L112" s="9">
        <f t="shared" ca="1" si="28"/>
        <v>1.4949458810271284E-5</v>
      </c>
      <c r="M112" s="9">
        <f t="shared" ca="1" si="20"/>
        <v>2415.3430416079664</v>
      </c>
      <c r="N112" s="9">
        <f t="shared" ca="1" si="21"/>
        <v>38.374308978079455</v>
      </c>
      <c r="O112" s="9">
        <f t="shared" ca="1" si="22"/>
        <v>4188.3290364178738</v>
      </c>
      <c r="P112" s="5">
        <f t="shared" ca="1" si="29"/>
        <v>-3.8664530011719117E-3</v>
      </c>
      <c r="Q112" s="5"/>
      <c r="R112" s="5"/>
      <c r="S112" s="5"/>
    </row>
    <row r="113" spans="1:19" x14ac:dyDescent="0.2">
      <c r="A113" s="41"/>
      <c r="B113" s="41"/>
      <c r="C113" s="5"/>
      <c r="D113" s="42">
        <f t="shared" si="18"/>
        <v>0</v>
      </c>
      <c r="E113" s="42">
        <f t="shared" si="18"/>
        <v>0</v>
      </c>
      <c r="F113" s="9">
        <f t="shared" si="23"/>
        <v>0</v>
      </c>
      <c r="G113" s="9">
        <f t="shared" si="24"/>
        <v>0</v>
      </c>
      <c r="H113" s="9">
        <f t="shared" si="25"/>
        <v>0</v>
      </c>
      <c r="I113" s="9">
        <f t="shared" si="26"/>
        <v>0</v>
      </c>
      <c r="J113" s="9">
        <f t="shared" si="27"/>
        <v>0</v>
      </c>
      <c r="K113" s="9">
        <f t="shared" ca="1" si="19"/>
        <v>3.8664530011719117E-3</v>
      </c>
      <c r="L113" s="9">
        <f t="shared" ca="1" si="28"/>
        <v>1.4949458810271284E-5</v>
      </c>
      <c r="M113" s="9">
        <f t="shared" ca="1" si="20"/>
        <v>2415.3430416079664</v>
      </c>
      <c r="N113" s="9">
        <f t="shared" ca="1" si="21"/>
        <v>38.374308978079455</v>
      </c>
      <c r="O113" s="9">
        <f t="shared" ca="1" si="22"/>
        <v>4188.3290364178738</v>
      </c>
      <c r="P113" s="5">
        <f t="shared" ca="1" si="29"/>
        <v>-3.8664530011719117E-3</v>
      </c>
      <c r="Q113" s="5"/>
      <c r="R113" s="5"/>
      <c r="S113" s="5"/>
    </row>
    <row r="114" spans="1:19" x14ac:dyDescent="0.2">
      <c r="A114" s="41"/>
      <c r="B114" s="41"/>
      <c r="C114" s="5"/>
      <c r="D114" s="42">
        <f t="shared" si="18"/>
        <v>0</v>
      </c>
      <c r="E114" s="42">
        <f t="shared" si="18"/>
        <v>0</v>
      </c>
      <c r="F114" s="9">
        <f t="shared" si="23"/>
        <v>0</v>
      </c>
      <c r="G114" s="9">
        <f t="shared" si="24"/>
        <v>0</v>
      </c>
      <c r="H114" s="9">
        <f t="shared" si="25"/>
        <v>0</v>
      </c>
      <c r="I114" s="9">
        <f t="shared" si="26"/>
        <v>0</v>
      </c>
      <c r="J114" s="9">
        <f t="shared" si="27"/>
        <v>0</v>
      </c>
      <c r="K114" s="9">
        <f t="shared" ca="1" si="19"/>
        <v>3.8664530011719117E-3</v>
      </c>
      <c r="L114" s="9">
        <f t="shared" ca="1" si="28"/>
        <v>1.4949458810271284E-5</v>
      </c>
      <c r="M114" s="9">
        <f t="shared" ca="1" si="20"/>
        <v>2415.3430416079664</v>
      </c>
      <c r="N114" s="9">
        <f t="shared" ca="1" si="21"/>
        <v>38.374308978079455</v>
      </c>
      <c r="O114" s="9">
        <f t="shared" ca="1" si="22"/>
        <v>4188.3290364178738</v>
      </c>
      <c r="P114" s="5">
        <f t="shared" ca="1" si="29"/>
        <v>-3.8664530011719117E-3</v>
      </c>
      <c r="Q114" s="5"/>
      <c r="R114" s="5"/>
      <c r="S114" s="5"/>
    </row>
    <row r="115" spans="1:19" x14ac:dyDescent="0.2">
      <c r="A115" s="41"/>
      <c r="B115" s="41"/>
      <c r="C115" s="5"/>
      <c r="D115" s="42">
        <f t="shared" si="18"/>
        <v>0</v>
      </c>
      <c r="E115" s="42">
        <f t="shared" si="18"/>
        <v>0</v>
      </c>
      <c r="F115" s="9">
        <f t="shared" si="23"/>
        <v>0</v>
      </c>
      <c r="G115" s="9">
        <f t="shared" si="24"/>
        <v>0</v>
      </c>
      <c r="H115" s="9">
        <f t="shared" si="25"/>
        <v>0</v>
      </c>
      <c r="I115" s="9">
        <f t="shared" si="26"/>
        <v>0</v>
      </c>
      <c r="J115" s="9">
        <f t="shared" si="27"/>
        <v>0</v>
      </c>
      <c r="K115" s="9">
        <f t="shared" ca="1" si="19"/>
        <v>3.8664530011719117E-3</v>
      </c>
      <c r="L115" s="9">
        <f t="shared" ca="1" si="28"/>
        <v>1.4949458810271284E-5</v>
      </c>
      <c r="M115" s="9">
        <f t="shared" ca="1" si="20"/>
        <v>2415.3430416079664</v>
      </c>
      <c r="N115" s="9">
        <f t="shared" ca="1" si="21"/>
        <v>38.374308978079455</v>
      </c>
      <c r="O115" s="9">
        <f t="shared" ca="1" si="22"/>
        <v>4188.3290364178738</v>
      </c>
      <c r="P115" s="5">
        <f t="shared" ca="1" si="29"/>
        <v>-3.8664530011719117E-3</v>
      </c>
      <c r="Q115" s="5"/>
      <c r="R115" s="5"/>
      <c r="S115" s="5"/>
    </row>
    <row r="116" spans="1:19" x14ac:dyDescent="0.2">
      <c r="A116" s="41"/>
      <c r="B116" s="41"/>
      <c r="C116" s="5"/>
      <c r="D116" s="42">
        <f t="shared" si="18"/>
        <v>0</v>
      </c>
      <c r="E116" s="42">
        <f t="shared" si="18"/>
        <v>0</v>
      </c>
      <c r="F116" s="9">
        <f t="shared" si="23"/>
        <v>0</v>
      </c>
      <c r="G116" s="9">
        <f t="shared" si="24"/>
        <v>0</v>
      </c>
      <c r="H116" s="9">
        <f t="shared" si="25"/>
        <v>0</v>
      </c>
      <c r="I116" s="9">
        <f t="shared" si="26"/>
        <v>0</v>
      </c>
      <c r="J116" s="9">
        <f t="shared" si="27"/>
        <v>0</v>
      </c>
      <c r="K116" s="9">
        <f t="shared" ca="1" si="19"/>
        <v>3.8664530011719117E-3</v>
      </c>
      <c r="L116" s="9">
        <f t="shared" ca="1" si="28"/>
        <v>1.4949458810271284E-5</v>
      </c>
      <c r="M116" s="9">
        <f t="shared" ca="1" si="20"/>
        <v>2415.3430416079664</v>
      </c>
      <c r="N116" s="9">
        <f t="shared" ca="1" si="21"/>
        <v>38.374308978079455</v>
      </c>
      <c r="O116" s="9">
        <f t="shared" ca="1" si="22"/>
        <v>4188.3290364178738</v>
      </c>
      <c r="P116" s="5">
        <f t="shared" ca="1" si="29"/>
        <v>-3.8664530011719117E-3</v>
      </c>
      <c r="Q116" s="5"/>
      <c r="R116" s="5"/>
      <c r="S116" s="5"/>
    </row>
    <row r="117" spans="1:19" x14ac:dyDescent="0.2">
      <c r="A117" s="41"/>
      <c r="B117" s="41"/>
      <c r="C117" s="5"/>
      <c r="D117" s="42">
        <f t="shared" ref="D117:E132" si="30">A117/A$18</f>
        <v>0</v>
      </c>
      <c r="E117" s="42">
        <f t="shared" si="30"/>
        <v>0</v>
      </c>
      <c r="F117" s="9">
        <f t="shared" si="23"/>
        <v>0</v>
      </c>
      <c r="G117" s="9">
        <f t="shared" si="24"/>
        <v>0</v>
      </c>
      <c r="H117" s="9">
        <f t="shared" si="25"/>
        <v>0</v>
      </c>
      <c r="I117" s="9">
        <f t="shared" si="26"/>
        <v>0</v>
      </c>
      <c r="J117" s="9">
        <f t="shared" si="27"/>
        <v>0</v>
      </c>
      <c r="K117" s="9">
        <f t="shared" ref="K117:K145" ca="1" si="31">+E$4+E$5*D117+E$6*D117^2</f>
        <v>3.8664530011719117E-3</v>
      </c>
      <c r="L117" s="9">
        <f t="shared" ca="1" si="28"/>
        <v>1.4949458810271284E-5</v>
      </c>
      <c r="M117" s="9">
        <f t="shared" ca="1" si="20"/>
        <v>2415.3430416079664</v>
      </c>
      <c r="N117" s="9">
        <f t="shared" ca="1" si="21"/>
        <v>38.374308978079455</v>
      </c>
      <c r="O117" s="9">
        <f t="shared" ca="1" si="22"/>
        <v>4188.3290364178738</v>
      </c>
      <c r="P117" s="5">
        <f t="shared" ca="1" si="29"/>
        <v>-3.8664530011719117E-3</v>
      </c>
      <c r="Q117" s="5"/>
      <c r="R117" s="5"/>
      <c r="S117" s="5"/>
    </row>
    <row r="118" spans="1:19" x14ac:dyDescent="0.2">
      <c r="A118" s="41"/>
      <c r="B118" s="41"/>
      <c r="C118" s="5"/>
      <c r="D118" s="42">
        <f t="shared" si="30"/>
        <v>0</v>
      </c>
      <c r="E118" s="42">
        <f t="shared" si="30"/>
        <v>0</v>
      </c>
      <c r="F118" s="9">
        <f t="shared" si="23"/>
        <v>0</v>
      </c>
      <c r="G118" s="9">
        <f t="shared" si="24"/>
        <v>0</v>
      </c>
      <c r="H118" s="9">
        <f t="shared" si="25"/>
        <v>0</v>
      </c>
      <c r="I118" s="9">
        <f t="shared" si="26"/>
        <v>0</v>
      </c>
      <c r="J118" s="9">
        <f t="shared" si="27"/>
        <v>0</v>
      </c>
      <c r="K118" s="9">
        <f t="shared" ca="1" si="31"/>
        <v>3.8664530011719117E-3</v>
      </c>
      <c r="L118" s="9">
        <f t="shared" ca="1" si="28"/>
        <v>1.4949458810271284E-5</v>
      </c>
      <c r="M118" s="9">
        <f t="shared" ca="1" si="20"/>
        <v>2415.3430416079664</v>
      </c>
      <c r="N118" s="9">
        <f t="shared" ca="1" si="21"/>
        <v>38.374308978079455</v>
      </c>
      <c r="O118" s="9">
        <f t="shared" ca="1" si="22"/>
        <v>4188.3290364178738</v>
      </c>
      <c r="P118" s="5">
        <f t="shared" ca="1" si="29"/>
        <v>-3.8664530011719117E-3</v>
      </c>
      <c r="Q118" s="5"/>
      <c r="R118" s="5"/>
      <c r="S118" s="5"/>
    </row>
    <row r="119" spans="1:19" x14ac:dyDescent="0.2">
      <c r="A119" s="41"/>
      <c r="B119" s="41"/>
      <c r="C119" s="5"/>
      <c r="D119" s="42">
        <f t="shared" si="30"/>
        <v>0</v>
      </c>
      <c r="E119" s="42">
        <f t="shared" si="30"/>
        <v>0</v>
      </c>
      <c r="F119" s="9">
        <f t="shared" si="23"/>
        <v>0</v>
      </c>
      <c r="G119" s="9">
        <f t="shared" si="24"/>
        <v>0</v>
      </c>
      <c r="H119" s="9">
        <f t="shared" si="25"/>
        <v>0</v>
      </c>
      <c r="I119" s="9">
        <f t="shared" si="26"/>
        <v>0</v>
      </c>
      <c r="J119" s="9">
        <f t="shared" si="27"/>
        <v>0</v>
      </c>
      <c r="K119" s="9">
        <f t="shared" ca="1" si="31"/>
        <v>3.8664530011719117E-3</v>
      </c>
      <c r="L119" s="9">
        <f t="shared" ca="1" si="28"/>
        <v>1.4949458810271284E-5</v>
      </c>
      <c r="M119" s="9">
        <f t="shared" ca="1" si="20"/>
        <v>2415.3430416079664</v>
      </c>
      <c r="N119" s="9">
        <f t="shared" ca="1" si="21"/>
        <v>38.374308978079455</v>
      </c>
      <c r="O119" s="9">
        <f t="shared" ca="1" si="22"/>
        <v>4188.3290364178738</v>
      </c>
      <c r="P119" s="5">
        <f t="shared" ca="1" si="29"/>
        <v>-3.8664530011719117E-3</v>
      </c>
      <c r="Q119" s="5"/>
      <c r="R119" s="5"/>
      <c r="S119" s="5"/>
    </row>
    <row r="120" spans="1:19" x14ac:dyDescent="0.2">
      <c r="A120" s="43"/>
      <c r="B120" s="43"/>
      <c r="C120" s="5"/>
      <c r="D120" s="42">
        <f t="shared" si="30"/>
        <v>0</v>
      </c>
      <c r="E120" s="42">
        <f t="shared" si="30"/>
        <v>0</v>
      </c>
      <c r="F120" s="9">
        <f t="shared" si="23"/>
        <v>0</v>
      </c>
      <c r="G120" s="9">
        <f t="shared" si="24"/>
        <v>0</v>
      </c>
      <c r="H120" s="9">
        <f t="shared" si="25"/>
        <v>0</v>
      </c>
      <c r="I120" s="9">
        <f t="shared" si="26"/>
        <v>0</v>
      </c>
      <c r="J120" s="9">
        <f t="shared" si="27"/>
        <v>0</v>
      </c>
      <c r="K120" s="9">
        <f t="shared" ca="1" si="31"/>
        <v>3.8664530011719117E-3</v>
      </c>
      <c r="L120" s="9">
        <f t="shared" ca="1" si="28"/>
        <v>1.4949458810271284E-5</v>
      </c>
      <c r="M120" s="9">
        <f t="shared" ca="1" si="20"/>
        <v>2415.3430416079664</v>
      </c>
      <c r="N120" s="9">
        <f t="shared" ca="1" si="21"/>
        <v>38.374308978079455</v>
      </c>
      <c r="O120" s="9">
        <f t="shared" ca="1" si="22"/>
        <v>4188.3290364178738</v>
      </c>
      <c r="P120" s="5">
        <f t="shared" ca="1" si="29"/>
        <v>-3.8664530011719117E-3</v>
      </c>
      <c r="Q120" s="5"/>
      <c r="R120" s="5"/>
      <c r="S120" s="5"/>
    </row>
    <row r="121" spans="1:19" x14ac:dyDescent="0.2">
      <c r="A121" s="43"/>
      <c r="B121" s="43"/>
      <c r="C121" s="5"/>
      <c r="D121" s="42">
        <f t="shared" si="30"/>
        <v>0</v>
      </c>
      <c r="E121" s="42">
        <f t="shared" si="30"/>
        <v>0</v>
      </c>
      <c r="F121" s="9">
        <f t="shared" si="23"/>
        <v>0</v>
      </c>
      <c r="G121" s="9">
        <f t="shared" si="24"/>
        <v>0</v>
      </c>
      <c r="H121" s="9">
        <f t="shared" si="25"/>
        <v>0</v>
      </c>
      <c r="I121" s="9">
        <f t="shared" si="26"/>
        <v>0</v>
      </c>
      <c r="J121" s="9">
        <f t="shared" si="27"/>
        <v>0</v>
      </c>
      <c r="K121" s="9">
        <f t="shared" ca="1" si="31"/>
        <v>3.8664530011719117E-3</v>
      </c>
      <c r="L121" s="9">
        <f t="shared" ca="1" si="28"/>
        <v>1.4949458810271284E-5</v>
      </c>
      <c r="M121" s="9">
        <f t="shared" ca="1" si="20"/>
        <v>2415.3430416079664</v>
      </c>
      <c r="N121" s="9">
        <f t="shared" ca="1" si="21"/>
        <v>38.374308978079455</v>
      </c>
      <c r="O121" s="9">
        <f t="shared" ca="1" si="22"/>
        <v>4188.3290364178738</v>
      </c>
      <c r="P121" s="5">
        <f t="shared" ca="1" si="29"/>
        <v>-3.8664530011719117E-3</v>
      </c>
      <c r="Q121" s="5"/>
      <c r="R121" s="5"/>
      <c r="S121" s="5"/>
    </row>
    <row r="122" spans="1:19" x14ac:dyDescent="0.2">
      <c r="A122" s="43"/>
      <c r="B122" s="43"/>
      <c r="C122" s="5"/>
      <c r="D122" s="42">
        <f t="shared" si="30"/>
        <v>0</v>
      </c>
      <c r="E122" s="42">
        <f t="shared" si="30"/>
        <v>0</v>
      </c>
      <c r="F122" s="9">
        <f t="shared" si="23"/>
        <v>0</v>
      </c>
      <c r="G122" s="9">
        <f t="shared" si="24"/>
        <v>0</v>
      </c>
      <c r="H122" s="9">
        <f t="shared" si="25"/>
        <v>0</v>
      </c>
      <c r="I122" s="9">
        <f t="shared" si="26"/>
        <v>0</v>
      </c>
      <c r="J122" s="9">
        <f t="shared" si="27"/>
        <v>0</v>
      </c>
      <c r="K122" s="9">
        <f t="shared" ca="1" si="31"/>
        <v>3.8664530011719117E-3</v>
      </c>
      <c r="L122" s="9">
        <f t="shared" ca="1" si="28"/>
        <v>1.4949458810271284E-5</v>
      </c>
      <c r="M122" s="9">
        <f t="shared" ca="1" si="20"/>
        <v>2415.3430416079664</v>
      </c>
      <c r="N122" s="9">
        <f t="shared" ca="1" si="21"/>
        <v>38.374308978079455</v>
      </c>
      <c r="O122" s="9">
        <f t="shared" ca="1" si="22"/>
        <v>4188.3290364178738</v>
      </c>
      <c r="P122" s="5">
        <f t="shared" ca="1" si="29"/>
        <v>-3.8664530011719117E-3</v>
      </c>
      <c r="Q122" s="5"/>
      <c r="R122" s="5"/>
      <c r="S122" s="5"/>
    </row>
    <row r="123" spans="1:19" x14ac:dyDescent="0.2">
      <c r="A123" s="43"/>
      <c r="B123" s="43"/>
      <c r="C123" s="5"/>
      <c r="D123" s="42">
        <f t="shared" si="30"/>
        <v>0</v>
      </c>
      <c r="E123" s="42">
        <f t="shared" si="30"/>
        <v>0</v>
      </c>
      <c r="F123" s="9">
        <f t="shared" si="23"/>
        <v>0</v>
      </c>
      <c r="G123" s="9">
        <f t="shared" si="24"/>
        <v>0</v>
      </c>
      <c r="H123" s="9">
        <f t="shared" si="25"/>
        <v>0</v>
      </c>
      <c r="I123" s="9">
        <f t="shared" si="26"/>
        <v>0</v>
      </c>
      <c r="J123" s="9">
        <f t="shared" si="27"/>
        <v>0</v>
      </c>
      <c r="K123" s="9">
        <f t="shared" ca="1" si="31"/>
        <v>3.8664530011719117E-3</v>
      </c>
      <c r="L123" s="9">
        <f t="shared" ca="1" si="28"/>
        <v>1.4949458810271284E-5</v>
      </c>
      <c r="M123" s="9">
        <f t="shared" ca="1" si="20"/>
        <v>2415.3430416079664</v>
      </c>
      <c r="N123" s="9">
        <f t="shared" ca="1" si="21"/>
        <v>38.374308978079455</v>
      </c>
      <c r="O123" s="9">
        <f t="shared" ca="1" si="22"/>
        <v>4188.3290364178738</v>
      </c>
      <c r="P123" s="5">
        <f t="shared" ca="1" si="29"/>
        <v>-3.8664530011719117E-3</v>
      </c>
      <c r="Q123" s="5"/>
      <c r="R123" s="5"/>
      <c r="S123" s="5"/>
    </row>
    <row r="124" spans="1:19" x14ac:dyDescent="0.2">
      <c r="A124" s="43"/>
      <c r="B124" s="43"/>
      <c r="C124" s="5"/>
      <c r="D124" s="42">
        <f t="shared" si="30"/>
        <v>0</v>
      </c>
      <c r="E124" s="42">
        <f t="shared" si="30"/>
        <v>0</v>
      </c>
      <c r="F124" s="9">
        <f t="shared" si="23"/>
        <v>0</v>
      </c>
      <c r="G124" s="9">
        <f t="shared" si="24"/>
        <v>0</v>
      </c>
      <c r="H124" s="9">
        <f t="shared" si="25"/>
        <v>0</v>
      </c>
      <c r="I124" s="9">
        <f t="shared" si="26"/>
        <v>0</v>
      </c>
      <c r="J124" s="9">
        <f t="shared" si="27"/>
        <v>0</v>
      </c>
      <c r="K124" s="9">
        <f t="shared" ca="1" si="31"/>
        <v>3.8664530011719117E-3</v>
      </c>
      <c r="L124" s="9">
        <f t="shared" ca="1" si="28"/>
        <v>1.4949458810271284E-5</v>
      </c>
      <c r="M124" s="9">
        <f t="shared" ca="1" si="20"/>
        <v>2415.3430416079664</v>
      </c>
      <c r="N124" s="9">
        <f t="shared" ca="1" si="21"/>
        <v>38.374308978079455</v>
      </c>
      <c r="O124" s="9">
        <f t="shared" ca="1" si="22"/>
        <v>4188.3290364178738</v>
      </c>
      <c r="P124" s="5">
        <f t="shared" ca="1" si="29"/>
        <v>-3.8664530011719117E-3</v>
      </c>
      <c r="Q124" s="5"/>
      <c r="R124" s="5"/>
      <c r="S124" s="5"/>
    </row>
    <row r="125" spans="1:19" x14ac:dyDescent="0.2">
      <c r="A125" s="43"/>
      <c r="B125" s="43"/>
      <c r="C125" s="5"/>
      <c r="D125" s="42">
        <f t="shared" si="30"/>
        <v>0</v>
      </c>
      <c r="E125" s="42">
        <f t="shared" si="30"/>
        <v>0</v>
      </c>
      <c r="F125" s="9">
        <f t="shared" si="23"/>
        <v>0</v>
      </c>
      <c r="G125" s="9">
        <f t="shared" si="24"/>
        <v>0</v>
      </c>
      <c r="H125" s="9">
        <f t="shared" si="25"/>
        <v>0</v>
      </c>
      <c r="I125" s="9">
        <f t="shared" si="26"/>
        <v>0</v>
      </c>
      <c r="J125" s="9">
        <f t="shared" si="27"/>
        <v>0</v>
      </c>
      <c r="K125" s="9">
        <f t="shared" ca="1" si="31"/>
        <v>3.8664530011719117E-3</v>
      </c>
      <c r="L125" s="9">
        <f t="shared" ca="1" si="28"/>
        <v>1.4949458810271284E-5</v>
      </c>
      <c r="M125" s="9">
        <f t="shared" ca="1" si="20"/>
        <v>2415.3430416079664</v>
      </c>
      <c r="N125" s="9">
        <f t="shared" ca="1" si="21"/>
        <v>38.374308978079455</v>
      </c>
      <c r="O125" s="9">
        <f t="shared" ca="1" si="22"/>
        <v>4188.3290364178738</v>
      </c>
      <c r="P125" s="5">
        <f t="shared" ca="1" si="29"/>
        <v>-3.8664530011719117E-3</v>
      </c>
      <c r="Q125" s="5"/>
      <c r="R125" s="5"/>
      <c r="S125" s="5"/>
    </row>
    <row r="126" spans="1:19" x14ac:dyDescent="0.2">
      <c r="A126" s="43"/>
      <c r="B126" s="43"/>
      <c r="C126" s="5"/>
      <c r="D126" s="42">
        <f t="shared" si="30"/>
        <v>0</v>
      </c>
      <c r="E126" s="42">
        <f t="shared" si="30"/>
        <v>0</v>
      </c>
      <c r="F126" s="9">
        <f t="shared" si="23"/>
        <v>0</v>
      </c>
      <c r="G126" s="9">
        <f t="shared" si="24"/>
        <v>0</v>
      </c>
      <c r="H126" s="9">
        <f t="shared" si="25"/>
        <v>0</v>
      </c>
      <c r="I126" s="9">
        <f t="shared" si="26"/>
        <v>0</v>
      </c>
      <c r="J126" s="9">
        <f t="shared" si="27"/>
        <v>0</v>
      </c>
      <c r="K126" s="9">
        <f t="shared" ca="1" si="31"/>
        <v>3.8664530011719117E-3</v>
      </c>
      <c r="L126" s="9">
        <f t="shared" ca="1" si="28"/>
        <v>1.4949458810271284E-5</v>
      </c>
      <c r="M126" s="9">
        <f t="shared" ca="1" si="20"/>
        <v>2415.3430416079664</v>
      </c>
      <c r="N126" s="9">
        <f t="shared" ca="1" si="21"/>
        <v>38.374308978079455</v>
      </c>
      <c r="O126" s="9">
        <f t="shared" ca="1" si="22"/>
        <v>4188.3290364178738</v>
      </c>
      <c r="P126" s="5">
        <f t="shared" ca="1" si="29"/>
        <v>-3.8664530011719117E-3</v>
      </c>
      <c r="Q126" s="5"/>
      <c r="R126" s="5"/>
      <c r="S126" s="5"/>
    </row>
    <row r="127" spans="1:19" x14ac:dyDescent="0.2">
      <c r="A127" s="43"/>
      <c r="B127" s="43"/>
      <c r="C127" s="5"/>
      <c r="D127" s="42">
        <f t="shared" si="30"/>
        <v>0</v>
      </c>
      <c r="E127" s="42">
        <f t="shared" si="30"/>
        <v>0</v>
      </c>
      <c r="F127" s="9">
        <f t="shared" si="23"/>
        <v>0</v>
      </c>
      <c r="G127" s="9">
        <f t="shared" si="24"/>
        <v>0</v>
      </c>
      <c r="H127" s="9">
        <f t="shared" si="25"/>
        <v>0</v>
      </c>
      <c r="I127" s="9">
        <f t="shared" si="26"/>
        <v>0</v>
      </c>
      <c r="J127" s="9">
        <f t="shared" si="27"/>
        <v>0</v>
      </c>
      <c r="K127" s="9">
        <f t="shared" ca="1" si="31"/>
        <v>3.8664530011719117E-3</v>
      </c>
      <c r="L127" s="9">
        <f t="shared" ca="1" si="28"/>
        <v>1.4949458810271284E-5</v>
      </c>
      <c r="M127" s="9">
        <f t="shared" ca="1" si="20"/>
        <v>2415.3430416079664</v>
      </c>
      <c r="N127" s="9">
        <f t="shared" ca="1" si="21"/>
        <v>38.374308978079455</v>
      </c>
      <c r="O127" s="9">
        <f t="shared" ca="1" si="22"/>
        <v>4188.3290364178738</v>
      </c>
      <c r="P127" s="5">
        <f t="shared" ca="1" si="29"/>
        <v>-3.8664530011719117E-3</v>
      </c>
      <c r="Q127" s="5"/>
      <c r="R127" s="5"/>
      <c r="S127" s="5"/>
    </row>
    <row r="128" spans="1:19" x14ac:dyDescent="0.2">
      <c r="A128" s="43"/>
      <c r="B128" s="43"/>
      <c r="C128" s="5"/>
      <c r="D128" s="42">
        <f t="shared" si="30"/>
        <v>0</v>
      </c>
      <c r="E128" s="42">
        <f t="shared" si="30"/>
        <v>0</v>
      </c>
      <c r="F128" s="9">
        <f t="shared" si="23"/>
        <v>0</v>
      </c>
      <c r="G128" s="9">
        <f t="shared" si="24"/>
        <v>0</v>
      </c>
      <c r="H128" s="9">
        <f t="shared" si="25"/>
        <v>0</v>
      </c>
      <c r="I128" s="9">
        <f t="shared" si="26"/>
        <v>0</v>
      </c>
      <c r="J128" s="9">
        <f t="shared" si="27"/>
        <v>0</v>
      </c>
      <c r="K128" s="9">
        <f t="shared" ca="1" si="31"/>
        <v>3.8664530011719117E-3</v>
      </c>
      <c r="L128" s="9">
        <f t="shared" ca="1" si="28"/>
        <v>1.4949458810271284E-5</v>
      </c>
      <c r="M128" s="9">
        <f t="shared" ca="1" si="20"/>
        <v>2415.3430416079664</v>
      </c>
      <c r="N128" s="9">
        <f t="shared" ca="1" si="21"/>
        <v>38.374308978079455</v>
      </c>
      <c r="O128" s="9">
        <f t="shared" ca="1" si="22"/>
        <v>4188.3290364178738</v>
      </c>
      <c r="P128" s="5">
        <f t="shared" ca="1" si="29"/>
        <v>-3.8664530011719117E-3</v>
      </c>
      <c r="Q128" s="5"/>
      <c r="R128" s="5"/>
      <c r="S128" s="5"/>
    </row>
    <row r="129" spans="1:19" x14ac:dyDescent="0.2">
      <c r="A129" s="43"/>
      <c r="B129" s="43"/>
      <c r="C129" s="5"/>
      <c r="D129" s="42">
        <f t="shared" si="30"/>
        <v>0</v>
      </c>
      <c r="E129" s="42">
        <f t="shared" si="30"/>
        <v>0</v>
      </c>
      <c r="F129" s="9">
        <f t="shared" si="23"/>
        <v>0</v>
      </c>
      <c r="G129" s="9">
        <f t="shared" si="24"/>
        <v>0</v>
      </c>
      <c r="H129" s="9">
        <f t="shared" si="25"/>
        <v>0</v>
      </c>
      <c r="I129" s="9">
        <f t="shared" si="26"/>
        <v>0</v>
      </c>
      <c r="J129" s="9">
        <f t="shared" si="27"/>
        <v>0</v>
      </c>
      <c r="K129" s="9">
        <f t="shared" ca="1" si="31"/>
        <v>3.8664530011719117E-3</v>
      </c>
      <c r="L129" s="9">
        <f t="shared" ca="1" si="28"/>
        <v>1.4949458810271284E-5</v>
      </c>
      <c r="M129" s="9">
        <f t="shared" ca="1" si="20"/>
        <v>2415.3430416079664</v>
      </c>
      <c r="N129" s="9">
        <f t="shared" ca="1" si="21"/>
        <v>38.374308978079455</v>
      </c>
      <c r="O129" s="9">
        <f t="shared" ca="1" si="22"/>
        <v>4188.3290364178738</v>
      </c>
      <c r="P129" s="5">
        <f t="shared" ca="1" si="29"/>
        <v>-3.8664530011719117E-3</v>
      </c>
      <c r="Q129" s="5"/>
      <c r="R129" s="5"/>
      <c r="S129" s="5"/>
    </row>
    <row r="130" spans="1:19" x14ac:dyDescent="0.2">
      <c r="A130" s="43"/>
      <c r="B130" s="43"/>
      <c r="C130" s="5"/>
      <c r="D130" s="42">
        <f t="shared" si="30"/>
        <v>0</v>
      </c>
      <c r="E130" s="42">
        <f t="shared" si="30"/>
        <v>0</v>
      </c>
      <c r="F130" s="9">
        <f t="shared" si="23"/>
        <v>0</v>
      </c>
      <c r="G130" s="9">
        <f t="shared" si="24"/>
        <v>0</v>
      </c>
      <c r="H130" s="9">
        <f t="shared" si="25"/>
        <v>0</v>
      </c>
      <c r="I130" s="9">
        <f t="shared" si="26"/>
        <v>0</v>
      </c>
      <c r="J130" s="9">
        <f t="shared" si="27"/>
        <v>0</v>
      </c>
      <c r="K130" s="9">
        <f t="shared" ca="1" si="31"/>
        <v>3.8664530011719117E-3</v>
      </c>
      <c r="L130" s="9">
        <f t="shared" ca="1" si="28"/>
        <v>1.4949458810271284E-5</v>
      </c>
      <c r="M130" s="9">
        <f t="shared" ca="1" si="20"/>
        <v>2415.3430416079664</v>
      </c>
      <c r="N130" s="9">
        <f t="shared" ca="1" si="21"/>
        <v>38.374308978079455</v>
      </c>
      <c r="O130" s="9">
        <f t="shared" ca="1" si="22"/>
        <v>4188.3290364178738</v>
      </c>
      <c r="P130" s="5">
        <f t="shared" ca="1" si="29"/>
        <v>-3.8664530011719117E-3</v>
      </c>
      <c r="Q130" s="5"/>
      <c r="R130" s="5"/>
      <c r="S130" s="5"/>
    </row>
    <row r="131" spans="1:19" x14ac:dyDescent="0.2">
      <c r="A131" s="43"/>
      <c r="B131" s="43"/>
      <c r="C131" s="5"/>
      <c r="D131" s="42">
        <f t="shared" si="30"/>
        <v>0</v>
      </c>
      <c r="E131" s="42">
        <f t="shared" si="30"/>
        <v>0</v>
      </c>
      <c r="F131" s="9">
        <f t="shared" si="23"/>
        <v>0</v>
      </c>
      <c r="G131" s="9">
        <f t="shared" si="24"/>
        <v>0</v>
      </c>
      <c r="H131" s="9">
        <f t="shared" si="25"/>
        <v>0</v>
      </c>
      <c r="I131" s="9">
        <f t="shared" si="26"/>
        <v>0</v>
      </c>
      <c r="J131" s="9">
        <f t="shared" si="27"/>
        <v>0</v>
      </c>
      <c r="K131" s="9">
        <f t="shared" ca="1" si="31"/>
        <v>3.8664530011719117E-3</v>
      </c>
      <c r="L131" s="9">
        <f t="shared" ca="1" si="28"/>
        <v>1.4949458810271284E-5</v>
      </c>
      <c r="M131" s="9">
        <f t="shared" ca="1" si="20"/>
        <v>2415.3430416079664</v>
      </c>
      <c r="N131" s="9">
        <f t="shared" ca="1" si="21"/>
        <v>38.374308978079455</v>
      </c>
      <c r="O131" s="9">
        <f t="shared" ca="1" si="22"/>
        <v>4188.3290364178738</v>
      </c>
      <c r="P131" s="5">
        <f t="shared" ca="1" si="29"/>
        <v>-3.8664530011719117E-3</v>
      </c>
      <c r="Q131" s="5"/>
      <c r="R131" s="5"/>
      <c r="S131" s="5"/>
    </row>
    <row r="132" spans="1:19" x14ac:dyDescent="0.2">
      <c r="A132" s="43"/>
      <c r="B132" s="43"/>
      <c r="C132" s="5"/>
      <c r="D132" s="42">
        <f t="shared" si="30"/>
        <v>0</v>
      </c>
      <c r="E132" s="42">
        <f t="shared" si="30"/>
        <v>0</v>
      </c>
      <c r="F132" s="9">
        <f t="shared" si="23"/>
        <v>0</v>
      </c>
      <c r="G132" s="9">
        <f t="shared" si="24"/>
        <v>0</v>
      </c>
      <c r="H132" s="9">
        <f t="shared" si="25"/>
        <v>0</v>
      </c>
      <c r="I132" s="9">
        <f t="shared" si="26"/>
        <v>0</v>
      </c>
      <c r="J132" s="9">
        <f t="shared" si="27"/>
        <v>0</v>
      </c>
      <c r="K132" s="9">
        <f t="shared" ca="1" si="31"/>
        <v>3.8664530011719117E-3</v>
      </c>
      <c r="L132" s="9">
        <f t="shared" ca="1" si="28"/>
        <v>1.4949458810271284E-5</v>
      </c>
      <c r="M132" s="9">
        <f t="shared" ca="1" si="20"/>
        <v>2415.3430416079664</v>
      </c>
      <c r="N132" s="9">
        <f t="shared" ca="1" si="21"/>
        <v>38.374308978079455</v>
      </c>
      <c r="O132" s="9">
        <f t="shared" ca="1" si="22"/>
        <v>4188.3290364178738</v>
      </c>
      <c r="P132" s="5">
        <f t="shared" ca="1" si="29"/>
        <v>-3.8664530011719117E-3</v>
      </c>
      <c r="Q132" s="5"/>
      <c r="R132" s="5"/>
      <c r="S132" s="5"/>
    </row>
    <row r="133" spans="1:19" x14ac:dyDescent="0.2">
      <c r="A133" s="43"/>
      <c r="B133" s="43"/>
      <c r="C133" s="5"/>
      <c r="D133" s="42">
        <f t="shared" ref="D133:E145" si="32">A133/A$18</f>
        <v>0</v>
      </c>
      <c r="E133" s="42">
        <f t="shared" si="32"/>
        <v>0</v>
      </c>
      <c r="F133" s="9">
        <f t="shared" si="23"/>
        <v>0</v>
      </c>
      <c r="G133" s="9">
        <f t="shared" si="24"/>
        <v>0</v>
      </c>
      <c r="H133" s="9">
        <f t="shared" si="25"/>
        <v>0</v>
      </c>
      <c r="I133" s="9">
        <f t="shared" si="26"/>
        <v>0</v>
      </c>
      <c r="J133" s="9">
        <f t="shared" si="27"/>
        <v>0</v>
      </c>
      <c r="K133" s="9">
        <f t="shared" ca="1" si="31"/>
        <v>3.8664530011719117E-3</v>
      </c>
      <c r="L133" s="9">
        <f t="shared" ca="1" si="28"/>
        <v>1.4949458810271284E-5</v>
      </c>
      <c r="M133" s="9">
        <f t="shared" ca="1" si="20"/>
        <v>2415.3430416079664</v>
      </c>
      <c r="N133" s="9">
        <f t="shared" ca="1" si="21"/>
        <v>38.374308978079455</v>
      </c>
      <c r="O133" s="9">
        <f t="shared" ca="1" si="22"/>
        <v>4188.3290364178738</v>
      </c>
      <c r="P133" s="5">
        <f t="shared" ca="1" si="29"/>
        <v>-3.8664530011719117E-3</v>
      </c>
      <c r="Q133" s="5"/>
      <c r="R133" s="5"/>
      <c r="S133" s="5"/>
    </row>
    <row r="134" spans="1:19" x14ac:dyDescent="0.2">
      <c r="A134" s="43"/>
      <c r="B134" s="43"/>
      <c r="C134" s="5"/>
      <c r="D134" s="42">
        <f t="shared" si="32"/>
        <v>0</v>
      </c>
      <c r="E134" s="42">
        <f t="shared" si="32"/>
        <v>0</v>
      </c>
      <c r="F134" s="9">
        <f t="shared" si="23"/>
        <v>0</v>
      </c>
      <c r="G134" s="9">
        <f t="shared" si="24"/>
        <v>0</v>
      </c>
      <c r="H134" s="9">
        <f t="shared" si="25"/>
        <v>0</v>
      </c>
      <c r="I134" s="9">
        <f t="shared" si="26"/>
        <v>0</v>
      </c>
      <c r="J134" s="9">
        <f t="shared" si="27"/>
        <v>0</v>
      </c>
      <c r="K134" s="9">
        <f t="shared" ca="1" si="31"/>
        <v>3.8664530011719117E-3</v>
      </c>
      <c r="L134" s="9">
        <f t="shared" ca="1" si="28"/>
        <v>1.4949458810271284E-5</v>
      </c>
      <c r="M134" s="9">
        <f t="shared" ca="1" si="20"/>
        <v>2415.3430416079664</v>
      </c>
      <c r="N134" s="9">
        <f t="shared" ca="1" si="21"/>
        <v>38.374308978079455</v>
      </c>
      <c r="O134" s="9">
        <f t="shared" ca="1" si="22"/>
        <v>4188.3290364178738</v>
      </c>
      <c r="P134" s="5">
        <f t="shared" ca="1" si="29"/>
        <v>-3.8664530011719117E-3</v>
      </c>
      <c r="Q134" s="5"/>
      <c r="R134" s="5"/>
      <c r="S134" s="5"/>
    </row>
    <row r="135" spans="1:19" x14ac:dyDescent="0.2">
      <c r="A135" s="43"/>
      <c r="B135" s="43"/>
      <c r="C135" s="5"/>
      <c r="D135" s="42">
        <f t="shared" si="32"/>
        <v>0</v>
      </c>
      <c r="E135" s="42">
        <f t="shared" si="32"/>
        <v>0</v>
      </c>
      <c r="F135" s="9">
        <f t="shared" si="23"/>
        <v>0</v>
      </c>
      <c r="G135" s="9">
        <f t="shared" si="24"/>
        <v>0</v>
      </c>
      <c r="H135" s="9">
        <f t="shared" si="25"/>
        <v>0</v>
      </c>
      <c r="I135" s="9">
        <f t="shared" si="26"/>
        <v>0</v>
      </c>
      <c r="J135" s="9">
        <f t="shared" si="27"/>
        <v>0</v>
      </c>
      <c r="K135" s="9">
        <f t="shared" ca="1" si="31"/>
        <v>3.8664530011719117E-3</v>
      </c>
      <c r="L135" s="9">
        <f t="shared" ca="1" si="28"/>
        <v>1.4949458810271284E-5</v>
      </c>
      <c r="M135" s="9">
        <f t="shared" ca="1" si="20"/>
        <v>2415.3430416079664</v>
      </c>
      <c r="N135" s="9">
        <f t="shared" ca="1" si="21"/>
        <v>38.374308978079455</v>
      </c>
      <c r="O135" s="9">
        <f t="shared" ca="1" si="22"/>
        <v>4188.3290364178738</v>
      </c>
      <c r="P135" s="5">
        <f t="shared" ca="1" si="29"/>
        <v>-3.8664530011719117E-3</v>
      </c>
      <c r="Q135" s="5"/>
      <c r="R135" s="5"/>
      <c r="S135" s="5"/>
    </row>
    <row r="136" spans="1:19" x14ac:dyDescent="0.2">
      <c r="A136" s="43"/>
      <c r="B136" s="43"/>
      <c r="C136" s="5"/>
      <c r="D136" s="42">
        <f t="shared" si="32"/>
        <v>0</v>
      </c>
      <c r="E136" s="42">
        <f t="shared" si="32"/>
        <v>0</v>
      </c>
      <c r="F136" s="9">
        <f t="shared" si="23"/>
        <v>0</v>
      </c>
      <c r="G136" s="9">
        <f t="shared" si="24"/>
        <v>0</v>
      </c>
      <c r="H136" s="9">
        <f t="shared" si="25"/>
        <v>0</v>
      </c>
      <c r="I136" s="9">
        <f t="shared" si="26"/>
        <v>0</v>
      </c>
      <c r="J136" s="9">
        <f t="shared" si="27"/>
        <v>0</v>
      </c>
      <c r="K136" s="9">
        <f t="shared" ca="1" si="31"/>
        <v>3.8664530011719117E-3</v>
      </c>
      <c r="L136" s="9">
        <f t="shared" ca="1" si="28"/>
        <v>1.4949458810271284E-5</v>
      </c>
      <c r="M136" s="9">
        <f t="shared" ca="1" si="20"/>
        <v>2415.3430416079664</v>
      </c>
      <c r="N136" s="9">
        <f t="shared" ca="1" si="21"/>
        <v>38.374308978079455</v>
      </c>
      <c r="O136" s="9">
        <f t="shared" ca="1" si="22"/>
        <v>4188.3290364178738</v>
      </c>
      <c r="P136" s="5">
        <f t="shared" ca="1" si="29"/>
        <v>-3.8664530011719117E-3</v>
      </c>
      <c r="Q136" s="5"/>
      <c r="R136" s="5"/>
      <c r="S136" s="5"/>
    </row>
    <row r="137" spans="1:19" x14ac:dyDescent="0.2">
      <c r="A137" s="43"/>
      <c r="B137" s="43"/>
      <c r="C137" s="5"/>
      <c r="D137" s="42">
        <f t="shared" si="32"/>
        <v>0</v>
      </c>
      <c r="E137" s="42">
        <f t="shared" si="32"/>
        <v>0</v>
      </c>
      <c r="F137" s="9">
        <f t="shared" si="23"/>
        <v>0</v>
      </c>
      <c r="G137" s="9">
        <f t="shared" si="24"/>
        <v>0</v>
      </c>
      <c r="H137" s="9">
        <f t="shared" si="25"/>
        <v>0</v>
      </c>
      <c r="I137" s="9">
        <f t="shared" si="26"/>
        <v>0</v>
      </c>
      <c r="J137" s="9">
        <f t="shared" si="27"/>
        <v>0</v>
      </c>
      <c r="K137" s="9">
        <f t="shared" ca="1" si="31"/>
        <v>3.8664530011719117E-3</v>
      </c>
      <c r="L137" s="9">
        <f t="shared" ca="1" si="28"/>
        <v>1.4949458810271284E-5</v>
      </c>
      <c r="M137" s="9">
        <f t="shared" ca="1" si="20"/>
        <v>2415.3430416079664</v>
      </c>
      <c r="N137" s="9">
        <f t="shared" ca="1" si="21"/>
        <v>38.374308978079455</v>
      </c>
      <c r="O137" s="9">
        <f t="shared" ca="1" si="22"/>
        <v>4188.3290364178738</v>
      </c>
      <c r="P137" s="5">
        <f t="shared" ca="1" si="29"/>
        <v>-3.8664530011719117E-3</v>
      </c>
      <c r="Q137" s="5"/>
      <c r="R137" s="5"/>
      <c r="S137" s="5"/>
    </row>
    <row r="138" spans="1:19" x14ac:dyDescent="0.2">
      <c r="A138" s="43"/>
      <c r="B138" s="43"/>
      <c r="C138" s="5"/>
      <c r="D138" s="42">
        <f t="shared" si="32"/>
        <v>0</v>
      </c>
      <c r="E138" s="42">
        <f t="shared" si="32"/>
        <v>0</v>
      </c>
      <c r="F138" s="9">
        <f t="shared" si="23"/>
        <v>0</v>
      </c>
      <c r="G138" s="9">
        <f t="shared" si="24"/>
        <v>0</v>
      </c>
      <c r="H138" s="9">
        <f t="shared" si="25"/>
        <v>0</v>
      </c>
      <c r="I138" s="9">
        <f t="shared" si="26"/>
        <v>0</v>
      </c>
      <c r="J138" s="9">
        <f t="shared" si="27"/>
        <v>0</v>
      </c>
      <c r="K138" s="9">
        <f t="shared" ca="1" si="31"/>
        <v>3.8664530011719117E-3</v>
      </c>
      <c r="L138" s="9">
        <f t="shared" ca="1" si="28"/>
        <v>1.4949458810271284E-5</v>
      </c>
      <c r="M138" s="9">
        <f t="shared" ca="1" si="20"/>
        <v>2415.3430416079664</v>
      </c>
      <c r="N138" s="9">
        <f t="shared" ca="1" si="21"/>
        <v>38.374308978079455</v>
      </c>
      <c r="O138" s="9">
        <f t="shared" ca="1" si="22"/>
        <v>4188.3290364178738</v>
      </c>
      <c r="P138" s="5">
        <f t="shared" ca="1" si="29"/>
        <v>-3.8664530011719117E-3</v>
      </c>
      <c r="Q138" s="5"/>
      <c r="R138" s="5"/>
      <c r="S138" s="5"/>
    </row>
    <row r="139" spans="1:19" x14ac:dyDescent="0.2">
      <c r="A139" s="43"/>
      <c r="B139" s="43"/>
      <c r="C139" s="5"/>
      <c r="D139" s="42">
        <f t="shared" si="32"/>
        <v>0</v>
      </c>
      <c r="E139" s="42">
        <f t="shared" si="32"/>
        <v>0</v>
      </c>
      <c r="F139" s="9">
        <f t="shared" si="23"/>
        <v>0</v>
      </c>
      <c r="G139" s="9">
        <f t="shared" si="24"/>
        <v>0</v>
      </c>
      <c r="H139" s="9">
        <f t="shared" si="25"/>
        <v>0</v>
      </c>
      <c r="I139" s="9">
        <f t="shared" si="26"/>
        <v>0</v>
      </c>
      <c r="J139" s="9">
        <f t="shared" si="27"/>
        <v>0</v>
      </c>
      <c r="K139" s="9">
        <f t="shared" ca="1" si="31"/>
        <v>3.8664530011719117E-3</v>
      </c>
      <c r="L139" s="9">
        <f t="shared" ca="1" si="28"/>
        <v>1.4949458810271284E-5</v>
      </c>
      <c r="M139" s="9">
        <f t="shared" ca="1" si="20"/>
        <v>2415.3430416079664</v>
      </c>
      <c r="N139" s="9">
        <f t="shared" ca="1" si="21"/>
        <v>38.374308978079455</v>
      </c>
      <c r="O139" s="9">
        <f t="shared" ca="1" si="22"/>
        <v>4188.3290364178738</v>
      </c>
      <c r="P139" s="5">
        <f t="shared" ca="1" si="29"/>
        <v>-3.8664530011719117E-3</v>
      </c>
      <c r="Q139" s="5"/>
      <c r="R139" s="5"/>
      <c r="S139" s="5"/>
    </row>
    <row r="140" spans="1:19" x14ac:dyDescent="0.2">
      <c r="A140" s="43"/>
      <c r="B140" s="43"/>
      <c r="C140" s="5"/>
      <c r="D140" s="42">
        <f t="shared" si="32"/>
        <v>0</v>
      </c>
      <c r="E140" s="42">
        <f t="shared" si="32"/>
        <v>0</v>
      </c>
      <c r="F140" s="9">
        <f t="shared" si="23"/>
        <v>0</v>
      </c>
      <c r="G140" s="9">
        <f t="shared" si="24"/>
        <v>0</v>
      </c>
      <c r="H140" s="9">
        <f t="shared" si="25"/>
        <v>0</v>
      </c>
      <c r="I140" s="9">
        <f t="shared" si="26"/>
        <v>0</v>
      </c>
      <c r="J140" s="9">
        <f t="shared" si="27"/>
        <v>0</v>
      </c>
      <c r="K140" s="9">
        <f t="shared" ca="1" si="31"/>
        <v>3.8664530011719117E-3</v>
      </c>
      <c r="L140" s="9">
        <f t="shared" ca="1" si="28"/>
        <v>1.4949458810271284E-5</v>
      </c>
      <c r="M140" s="9">
        <f t="shared" ca="1" si="20"/>
        <v>2415.3430416079664</v>
      </c>
      <c r="N140" s="9">
        <f t="shared" ca="1" si="21"/>
        <v>38.374308978079455</v>
      </c>
      <c r="O140" s="9">
        <f t="shared" ca="1" si="22"/>
        <v>4188.3290364178738</v>
      </c>
      <c r="P140" s="5">
        <f t="shared" ca="1" si="29"/>
        <v>-3.8664530011719117E-3</v>
      </c>
      <c r="Q140" s="5"/>
      <c r="R140" s="5"/>
      <c r="S140" s="5"/>
    </row>
    <row r="141" spans="1:19" x14ac:dyDescent="0.2">
      <c r="A141" s="43"/>
      <c r="B141" s="43"/>
      <c r="C141" s="5"/>
      <c r="D141" s="42">
        <f t="shared" si="32"/>
        <v>0</v>
      </c>
      <c r="E141" s="42">
        <f t="shared" si="32"/>
        <v>0</v>
      </c>
      <c r="F141" s="9">
        <f t="shared" si="23"/>
        <v>0</v>
      </c>
      <c r="G141" s="9">
        <f t="shared" si="24"/>
        <v>0</v>
      </c>
      <c r="H141" s="9">
        <f t="shared" si="25"/>
        <v>0</v>
      </c>
      <c r="I141" s="9">
        <f t="shared" si="26"/>
        <v>0</v>
      </c>
      <c r="J141" s="9">
        <f t="shared" si="27"/>
        <v>0</v>
      </c>
      <c r="K141" s="9">
        <f t="shared" ca="1" si="31"/>
        <v>3.8664530011719117E-3</v>
      </c>
      <c r="L141" s="9">
        <f t="shared" ca="1" si="28"/>
        <v>1.4949458810271284E-5</v>
      </c>
      <c r="M141" s="9">
        <f t="shared" ca="1" si="20"/>
        <v>2415.3430416079664</v>
      </c>
      <c r="N141" s="9">
        <f t="shared" ca="1" si="21"/>
        <v>38.374308978079455</v>
      </c>
      <c r="O141" s="9">
        <f t="shared" ca="1" si="22"/>
        <v>4188.3290364178738</v>
      </c>
      <c r="P141" s="5">
        <f t="shared" ca="1" si="29"/>
        <v>-3.8664530011719117E-3</v>
      </c>
      <c r="Q141" s="5"/>
      <c r="R141" s="5"/>
      <c r="S141" s="5"/>
    </row>
    <row r="142" spans="1:19" x14ac:dyDescent="0.2">
      <c r="A142" s="43"/>
      <c r="B142" s="43"/>
      <c r="C142" s="5"/>
      <c r="D142" s="42">
        <f t="shared" si="32"/>
        <v>0</v>
      </c>
      <c r="E142" s="42">
        <f t="shared" si="32"/>
        <v>0</v>
      </c>
      <c r="F142" s="9">
        <f t="shared" si="23"/>
        <v>0</v>
      </c>
      <c r="G142" s="9">
        <f t="shared" si="24"/>
        <v>0</v>
      </c>
      <c r="H142" s="9">
        <f t="shared" si="25"/>
        <v>0</v>
      </c>
      <c r="I142" s="9">
        <f t="shared" si="26"/>
        <v>0</v>
      </c>
      <c r="J142" s="9">
        <f t="shared" si="27"/>
        <v>0</v>
      </c>
      <c r="K142" s="9">
        <f t="shared" ca="1" si="31"/>
        <v>3.8664530011719117E-3</v>
      </c>
      <c r="L142" s="9">
        <f t="shared" ca="1" si="28"/>
        <v>1.4949458810271284E-5</v>
      </c>
      <c r="M142" s="9">
        <f t="shared" ca="1" si="20"/>
        <v>2415.3430416079664</v>
      </c>
      <c r="N142" s="9">
        <f t="shared" ca="1" si="21"/>
        <v>38.374308978079455</v>
      </c>
      <c r="O142" s="9">
        <f t="shared" ca="1" si="22"/>
        <v>4188.3290364178738</v>
      </c>
      <c r="P142" s="5">
        <f t="shared" ca="1" si="29"/>
        <v>-3.8664530011719117E-3</v>
      </c>
      <c r="Q142" s="5"/>
      <c r="R142" s="5"/>
      <c r="S142" s="5"/>
    </row>
    <row r="143" spans="1:19" x14ac:dyDescent="0.2">
      <c r="A143" s="43"/>
      <c r="B143" s="43"/>
      <c r="C143" s="5"/>
      <c r="D143" s="42">
        <f t="shared" si="32"/>
        <v>0</v>
      </c>
      <c r="E143" s="42">
        <f t="shared" si="32"/>
        <v>0</v>
      </c>
      <c r="F143" s="9">
        <f t="shared" si="23"/>
        <v>0</v>
      </c>
      <c r="G143" s="9">
        <f t="shared" si="24"/>
        <v>0</v>
      </c>
      <c r="H143" s="9">
        <f t="shared" si="25"/>
        <v>0</v>
      </c>
      <c r="I143" s="9">
        <f t="shared" si="26"/>
        <v>0</v>
      </c>
      <c r="J143" s="9">
        <f t="shared" si="27"/>
        <v>0</v>
      </c>
      <c r="K143" s="9">
        <f t="shared" ca="1" si="31"/>
        <v>3.8664530011719117E-3</v>
      </c>
      <c r="L143" s="9">
        <f t="shared" ca="1" si="28"/>
        <v>1.4949458810271284E-5</v>
      </c>
      <c r="M143" s="9">
        <f t="shared" ca="1" si="20"/>
        <v>2415.3430416079664</v>
      </c>
      <c r="N143" s="9">
        <f t="shared" ca="1" si="21"/>
        <v>38.374308978079455</v>
      </c>
      <c r="O143" s="9">
        <f t="shared" ca="1" si="22"/>
        <v>4188.3290364178738</v>
      </c>
      <c r="P143" s="5">
        <f t="shared" ca="1" si="29"/>
        <v>-3.8664530011719117E-3</v>
      </c>
      <c r="Q143" s="5"/>
      <c r="R143" s="5"/>
      <c r="S143" s="5"/>
    </row>
    <row r="144" spans="1:19" x14ac:dyDescent="0.2">
      <c r="A144" s="43"/>
      <c r="B144" s="43"/>
      <c r="C144" s="5"/>
      <c r="D144" s="42">
        <f t="shared" si="32"/>
        <v>0</v>
      </c>
      <c r="E144" s="42">
        <f t="shared" si="32"/>
        <v>0</v>
      </c>
      <c r="F144" s="9">
        <f t="shared" si="23"/>
        <v>0</v>
      </c>
      <c r="G144" s="9">
        <f t="shared" si="24"/>
        <v>0</v>
      </c>
      <c r="H144" s="9">
        <f t="shared" si="25"/>
        <v>0</v>
      </c>
      <c r="I144" s="9">
        <f t="shared" si="26"/>
        <v>0</v>
      </c>
      <c r="J144" s="9">
        <f t="shared" si="27"/>
        <v>0</v>
      </c>
      <c r="K144" s="9">
        <f t="shared" ca="1" si="31"/>
        <v>3.8664530011719117E-3</v>
      </c>
      <c r="L144" s="9">
        <f t="shared" ca="1" si="28"/>
        <v>1.4949458810271284E-5</v>
      </c>
      <c r="M144" s="9">
        <f t="shared" ca="1" si="20"/>
        <v>2415.3430416079664</v>
      </c>
      <c r="N144" s="9">
        <f t="shared" ca="1" si="21"/>
        <v>38.374308978079455</v>
      </c>
      <c r="O144" s="9">
        <f t="shared" ca="1" si="22"/>
        <v>4188.3290364178738</v>
      </c>
      <c r="P144" s="5">
        <f t="shared" ca="1" si="29"/>
        <v>-3.8664530011719117E-3</v>
      </c>
      <c r="Q144" s="5"/>
      <c r="R144" s="5"/>
      <c r="S144" s="5"/>
    </row>
    <row r="145" spans="1:19" x14ac:dyDescent="0.2">
      <c r="A145" s="43"/>
      <c r="B145" s="43"/>
      <c r="C145" s="5"/>
      <c r="D145" s="42">
        <f t="shared" si="32"/>
        <v>0</v>
      </c>
      <c r="E145" s="42">
        <f t="shared" si="32"/>
        <v>0</v>
      </c>
      <c r="F145" s="9">
        <f t="shared" si="23"/>
        <v>0</v>
      </c>
      <c r="G145" s="9">
        <f t="shared" si="24"/>
        <v>0</v>
      </c>
      <c r="H145" s="9">
        <f t="shared" si="25"/>
        <v>0</v>
      </c>
      <c r="I145" s="9">
        <f t="shared" si="26"/>
        <v>0</v>
      </c>
      <c r="J145" s="9">
        <f t="shared" si="27"/>
        <v>0</v>
      </c>
      <c r="K145" s="9">
        <f t="shared" ca="1" si="31"/>
        <v>3.8664530011719117E-3</v>
      </c>
      <c r="L145" s="9">
        <f t="shared" ca="1" si="28"/>
        <v>1.4949458810271284E-5</v>
      </c>
      <c r="M145" s="9">
        <f t="shared" ca="1" si="20"/>
        <v>2415.3430416079664</v>
      </c>
      <c r="N145" s="9">
        <f t="shared" ca="1" si="21"/>
        <v>38.374308978079455</v>
      </c>
      <c r="O145" s="9">
        <f t="shared" ca="1" si="22"/>
        <v>4188.3290364178738</v>
      </c>
      <c r="P145" s="5">
        <f t="shared" ca="1" si="29"/>
        <v>-3.8664530011719117E-3</v>
      </c>
      <c r="Q145" s="5"/>
      <c r="R145" s="5"/>
      <c r="S145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63"/>
  <sheetViews>
    <sheetView workbookViewId="0">
      <selection activeCell="A40" sqref="A40:E48"/>
    </sheetView>
  </sheetViews>
  <sheetFormatPr defaultRowHeight="12.75" x14ac:dyDescent="0.2"/>
  <cols>
    <col min="1" max="1" width="9.140625" style="4"/>
    <col min="2" max="2" width="6" customWidth="1"/>
    <col min="3" max="3" width="21" customWidth="1"/>
    <col min="5" max="5" width="14.28515625" customWidth="1"/>
    <col min="6" max="12" width="21" customWidth="1"/>
  </cols>
  <sheetData>
    <row r="1" spans="1:12" ht="15.75" x14ac:dyDescent="0.25">
      <c r="A1" s="49" t="s">
        <v>138</v>
      </c>
    </row>
    <row r="3" spans="1:12" x14ac:dyDescent="0.2">
      <c r="A3" s="4" t="s">
        <v>139</v>
      </c>
    </row>
    <row r="6" spans="1:12" ht="12.75" customHeight="1" x14ac:dyDescent="0.2">
      <c r="A6" s="48" t="s">
        <v>162</v>
      </c>
      <c r="B6" s="2" t="s">
        <v>28</v>
      </c>
      <c r="C6" s="48">
        <v>52764.431600000004</v>
      </c>
      <c r="D6" s="46" t="s">
        <v>280</v>
      </c>
      <c r="E6" s="51">
        <f>VLOOKUP(C6,Active!C$21:E$58,3,FALSE)</f>
        <v>209.51383995975971</v>
      </c>
      <c r="F6" s="4">
        <v>886.5</v>
      </c>
      <c r="G6" s="46" t="s">
        <v>160</v>
      </c>
      <c r="H6" s="45">
        <v>886.5</v>
      </c>
      <c r="I6" s="45" t="s">
        <v>161</v>
      </c>
      <c r="K6" s="46" t="s">
        <v>142</v>
      </c>
      <c r="L6" s="47" t="s">
        <v>143</v>
      </c>
    </row>
    <row r="7" spans="1:12" ht="12.75" customHeight="1" x14ac:dyDescent="0.2">
      <c r="A7" s="50" t="s">
        <v>165</v>
      </c>
      <c r="B7" s="2" t="s">
        <v>30</v>
      </c>
      <c r="C7" s="48">
        <v>53216.423999999999</v>
      </c>
      <c r="D7" s="46" t="s">
        <v>280</v>
      </c>
      <c r="E7" s="51">
        <f>VLOOKUP(C7,Active!C$21:E$58,3,FALSE)</f>
        <v>1726.0124140244991</v>
      </c>
      <c r="F7" s="4">
        <v>2403</v>
      </c>
      <c r="G7" s="46" t="s">
        <v>163</v>
      </c>
      <c r="H7" s="45">
        <v>2403</v>
      </c>
      <c r="I7" s="45" t="s">
        <v>164</v>
      </c>
      <c r="K7" s="46" t="s">
        <v>142</v>
      </c>
      <c r="L7" s="47" t="s">
        <v>143</v>
      </c>
    </row>
    <row r="8" spans="1:12" ht="12.75" customHeight="1" x14ac:dyDescent="0.2">
      <c r="A8" s="50" t="s">
        <v>165</v>
      </c>
      <c r="B8" s="2" t="s">
        <v>28</v>
      </c>
      <c r="C8" s="48">
        <v>53216.572200000002</v>
      </c>
      <c r="D8" s="46" t="s">
        <v>280</v>
      </c>
      <c r="E8" s="51">
        <f>VLOOKUP(C8,Active!C$21:E$58,3,FALSE)</f>
        <v>1726.5096460325624</v>
      </c>
      <c r="F8" s="4">
        <v>2403.5</v>
      </c>
      <c r="G8" s="46" t="s">
        <v>166</v>
      </c>
      <c r="H8" s="45">
        <v>2403.5</v>
      </c>
      <c r="I8" s="45" t="s">
        <v>167</v>
      </c>
      <c r="K8" s="46" t="s">
        <v>142</v>
      </c>
      <c r="L8" s="47" t="s">
        <v>143</v>
      </c>
    </row>
    <row r="9" spans="1:12" ht="12.75" customHeight="1" x14ac:dyDescent="0.2">
      <c r="A9" s="50" t="s">
        <v>172</v>
      </c>
      <c r="B9" s="2" t="s">
        <v>30</v>
      </c>
      <c r="C9" s="48">
        <v>53565.440799999997</v>
      </c>
      <c r="D9" s="46" t="s">
        <v>281</v>
      </c>
      <c r="E9" s="51">
        <f>VLOOKUP(C9,Active!C$21:E$58,3,FALSE)</f>
        <v>2897.0132528099298</v>
      </c>
      <c r="F9" s="4">
        <v>3574</v>
      </c>
      <c r="G9" s="46" t="s">
        <v>168</v>
      </c>
      <c r="H9" s="45">
        <v>3574</v>
      </c>
      <c r="I9" s="45" t="s">
        <v>169</v>
      </c>
      <c r="K9" s="46" t="s">
        <v>170</v>
      </c>
      <c r="L9" s="47" t="s">
        <v>171</v>
      </c>
    </row>
    <row r="10" spans="1:12" ht="12.75" customHeight="1" x14ac:dyDescent="0.2">
      <c r="A10" s="50" t="s">
        <v>176</v>
      </c>
      <c r="B10" s="2" t="s">
        <v>30</v>
      </c>
      <c r="C10" s="48">
        <v>53614.321799999998</v>
      </c>
      <c r="D10" s="46" t="s">
        <v>280</v>
      </c>
      <c r="E10" s="51">
        <f>VLOOKUP(C10,Active!C$21:E$58,3,FALSE)</f>
        <v>3061.0159369233379</v>
      </c>
      <c r="F10" s="4">
        <v>3738</v>
      </c>
      <c r="G10" s="46" t="s">
        <v>173</v>
      </c>
      <c r="H10" s="45" t="s">
        <v>174</v>
      </c>
      <c r="I10" s="45" t="s">
        <v>175</v>
      </c>
      <c r="K10" s="46" t="s">
        <v>142</v>
      </c>
      <c r="L10" s="47" t="s">
        <v>143</v>
      </c>
    </row>
    <row r="11" spans="1:12" ht="12.75" customHeight="1" x14ac:dyDescent="0.2">
      <c r="A11" s="50" t="s">
        <v>176</v>
      </c>
      <c r="B11" s="2" t="s">
        <v>30</v>
      </c>
      <c r="C11" s="48">
        <v>53917.440999999999</v>
      </c>
      <c r="D11" s="46" t="s">
        <v>280</v>
      </c>
      <c r="E11" s="51">
        <f>VLOOKUP(C11,Active!C$21:E$58,3,FALSE)</f>
        <v>4078.0238215064646</v>
      </c>
      <c r="F11" s="4">
        <v>4755</v>
      </c>
      <c r="G11" s="46" t="s">
        <v>177</v>
      </c>
      <c r="H11" s="45" t="s">
        <v>178</v>
      </c>
      <c r="I11" s="45" t="s">
        <v>179</v>
      </c>
      <c r="K11" s="46" t="s">
        <v>142</v>
      </c>
      <c r="L11" s="47" t="s">
        <v>143</v>
      </c>
    </row>
    <row r="12" spans="1:12" ht="12.75" customHeight="1" x14ac:dyDescent="0.2">
      <c r="A12" s="50" t="s">
        <v>183</v>
      </c>
      <c r="B12" s="2" t="s">
        <v>30</v>
      </c>
      <c r="C12" s="48">
        <v>54210.4231</v>
      </c>
      <c r="D12" s="46" t="s">
        <v>281</v>
      </c>
      <c r="E12" s="51">
        <f>VLOOKUP(C12,Active!C$21:E$58,3,FALSE)</f>
        <v>5061.0202986076256</v>
      </c>
      <c r="F12" s="4">
        <v>5738</v>
      </c>
      <c r="G12" s="46" t="s">
        <v>180</v>
      </c>
      <c r="H12" s="45" t="s">
        <v>181</v>
      </c>
      <c r="I12" s="45" t="s">
        <v>182</v>
      </c>
      <c r="K12" s="46" t="s">
        <v>170</v>
      </c>
      <c r="L12" s="47" t="s">
        <v>171</v>
      </c>
    </row>
    <row r="13" spans="1:12" ht="12.75" customHeight="1" x14ac:dyDescent="0.2">
      <c r="A13" s="48" t="s">
        <v>187</v>
      </c>
      <c r="B13" s="2" t="s">
        <v>30</v>
      </c>
      <c r="C13" s="48">
        <v>54210.423799999997</v>
      </c>
      <c r="D13" s="46" t="s">
        <v>281</v>
      </c>
      <c r="E13" s="51">
        <f>VLOOKUP(C13,Active!C$21:E$58,3,FALSE)</f>
        <v>5061.0226472068434</v>
      </c>
      <c r="F13" s="4">
        <v>5738</v>
      </c>
      <c r="G13" s="46" t="s">
        <v>184</v>
      </c>
      <c r="H13" s="45" t="s">
        <v>181</v>
      </c>
      <c r="I13" s="45" t="s">
        <v>185</v>
      </c>
      <c r="K13" s="46" t="s">
        <v>186</v>
      </c>
      <c r="L13" s="47" t="s">
        <v>143</v>
      </c>
    </row>
    <row r="14" spans="1:12" ht="12.75" customHeight="1" x14ac:dyDescent="0.2">
      <c r="A14" s="50" t="s">
        <v>183</v>
      </c>
      <c r="B14" s="2" t="s">
        <v>28</v>
      </c>
      <c r="C14" s="48">
        <v>54210.572999999997</v>
      </c>
      <c r="D14" s="46" t="s">
        <v>281</v>
      </c>
      <c r="E14" s="51">
        <f>VLOOKUP(C14,Active!C$21:E$58,3,FALSE)</f>
        <v>5061.5232343566504</v>
      </c>
      <c r="F14" s="4">
        <v>5738.5</v>
      </c>
      <c r="G14" s="46" t="s">
        <v>188</v>
      </c>
      <c r="H14" s="45" t="s">
        <v>189</v>
      </c>
      <c r="I14" s="45" t="s">
        <v>190</v>
      </c>
      <c r="K14" s="46" t="s">
        <v>170</v>
      </c>
      <c r="L14" s="47" t="s">
        <v>171</v>
      </c>
    </row>
    <row r="15" spans="1:12" ht="12.75" customHeight="1" x14ac:dyDescent="0.2">
      <c r="A15" s="48" t="s">
        <v>187</v>
      </c>
      <c r="B15" s="2" t="s">
        <v>28</v>
      </c>
      <c r="C15" s="48">
        <v>54210.573299999996</v>
      </c>
      <c r="D15" s="46" t="s">
        <v>281</v>
      </c>
      <c r="E15" s="51">
        <f>VLOOKUP(C15,Active!C$21:E$58,3,FALSE)</f>
        <v>5061.5242408991753</v>
      </c>
      <c r="F15" s="4">
        <v>5738.5</v>
      </c>
      <c r="G15" s="46" t="s">
        <v>188</v>
      </c>
      <c r="H15" s="45" t="s">
        <v>189</v>
      </c>
      <c r="I15" s="45" t="s">
        <v>191</v>
      </c>
      <c r="K15" s="46" t="s">
        <v>186</v>
      </c>
      <c r="L15" s="47" t="s">
        <v>143</v>
      </c>
    </row>
    <row r="16" spans="1:12" ht="12.75" customHeight="1" x14ac:dyDescent="0.2">
      <c r="A16" s="50" t="s">
        <v>196</v>
      </c>
      <c r="B16" s="2" t="s">
        <v>30</v>
      </c>
      <c r="C16" s="48">
        <v>54212.511599999998</v>
      </c>
      <c r="D16" s="46" t="s">
        <v>281</v>
      </c>
      <c r="E16" s="51">
        <f>VLOOKUP(C16,Active!C$21:E$58,3,FALSE)</f>
        <v>5068.0275121623918</v>
      </c>
      <c r="F16" s="4">
        <v>5745</v>
      </c>
      <c r="G16" s="46" t="s">
        <v>192</v>
      </c>
      <c r="H16" s="45" t="s">
        <v>193</v>
      </c>
      <c r="I16" s="45" t="s">
        <v>194</v>
      </c>
      <c r="K16" s="46" t="s">
        <v>170</v>
      </c>
      <c r="L16" s="47" t="s">
        <v>195</v>
      </c>
    </row>
    <row r="17" spans="1:12" ht="12.75" customHeight="1" x14ac:dyDescent="0.2">
      <c r="A17" s="50" t="s">
        <v>183</v>
      </c>
      <c r="B17" s="2" t="s">
        <v>28</v>
      </c>
      <c r="C17" s="48">
        <v>54217.428099999997</v>
      </c>
      <c r="D17" s="46" t="s">
        <v>281</v>
      </c>
      <c r="E17" s="51">
        <f>VLOOKUP(C17,Active!C$21:E$58,3,FALSE)</f>
        <v>5084.523066599565</v>
      </c>
      <c r="F17" s="4">
        <v>5761.5</v>
      </c>
      <c r="G17" s="46" t="s">
        <v>197</v>
      </c>
      <c r="H17" s="45" t="s">
        <v>198</v>
      </c>
      <c r="I17" s="45" t="s">
        <v>199</v>
      </c>
      <c r="K17" s="46" t="s">
        <v>170</v>
      </c>
      <c r="L17" s="47" t="s">
        <v>171</v>
      </c>
    </row>
    <row r="18" spans="1:12" ht="12.75" customHeight="1" x14ac:dyDescent="0.2">
      <c r="A18" s="50" t="s">
        <v>196</v>
      </c>
      <c r="B18" s="2" t="s">
        <v>28</v>
      </c>
      <c r="C18" s="48">
        <v>54597.444499999998</v>
      </c>
      <c r="D18" s="46" t="s">
        <v>281</v>
      </c>
      <c r="E18" s="51">
        <f>VLOOKUP(C18,Active!C$21:E$58,3,FALSE)</f>
        <v>6359.5319577252167</v>
      </c>
      <c r="F18" s="4">
        <v>7036.5</v>
      </c>
      <c r="G18" s="46" t="s">
        <v>200</v>
      </c>
      <c r="H18" s="45" t="s">
        <v>201</v>
      </c>
      <c r="I18" s="45" t="s">
        <v>202</v>
      </c>
      <c r="K18" s="46" t="s">
        <v>170</v>
      </c>
      <c r="L18" s="47" t="s">
        <v>171</v>
      </c>
    </row>
    <row r="19" spans="1:12" ht="12.75" customHeight="1" x14ac:dyDescent="0.2">
      <c r="A19" s="50" t="s">
        <v>196</v>
      </c>
      <c r="B19" s="2" t="s">
        <v>30</v>
      </c>
      <c r="C19" s="48">
        <v>54597.595099999999</v>
      </c>
      <c r="D19" s="46" t="s">
        <v>281</v>
      </c>
      <c r="E19" s="51">
        <f>VLOOKUP(C19,Active!C$21:E$58,3,FALSE)</f>
        <v>6360.037242073483</v>
      </c>
      <c r="F19" s="4">
        <v>7037</v>
      </c>
      <c r="G19" s="46" t="s">
        <v>203</v>
      </c>
      <c r="H19" s="45" t="s">
        <v>204</v>
      </c>
      <c r="I19" s="45" t="s">
        <v>205</v>
      </c>
      <c r="K19" s="46" t="s">
        <v>170</v>
      </c>
      <c r="L19" s="47" t="s">
        <v>171</v>
      </c>
    </row>
    <row r="20" spans="1:12" ht="12.75" customHeight="1" x14ac:dyDescent="0.2">
      <c r="A20" s="50" t="s">
        <v>209</v>
      </c>
      <c r="B20" s="2" t="s">
        <v>30</v>
      </c>
      <c r="C20" s="48">
        <v>54697.443899999998</v>
      </c>
      <c r="D20" s="46" t="s">
        <v>281</v>
      </c>
      <c r="E20" s="51">
        <f>VLOOKUP(C20,Active!C$21:E$58,3,FALSE)</f>
        <v>6695.0441201140793</v>
      </c>
      <c r="F20" s="4">
        <v>7372</v>
      </c>
      <c r="G20" s="46" t="s">
        <v>206</v>
      </c>
      <c r="H20" s="45" t="s">
        <v>207</v>
      </c>
      <c r="I20" s="45" t="s">
        <v>208</v>
      </c>
      <c r="K20" s="46" t="s">
        <v>67</v>
      </c>
      <c r="L20" s="47" t="s">
        <v>143</v>
      </c>
    </row>
    <row r="21" spans="1:12" ht="12.75" customHeight="1" x14ac:dyDescent="0.2">
      <c r="A21" s="50" t="s">
        <v>217</v>
      </c>
      <c r="B21" s="2" t="s">
        <v>30</v>
      </c>
      <c r="C21" s="48">
        <v>54931.412700000001</v>
      </c>
      <c r="D21" s="46" t="s">
        <v>281</v>
      </c>
      <c r="E21" s="51">
        <f>VLOOKUP(C21,Active!C$21:E$58,3,FALSE)</f>
        <v>7480.0426103002974</v>
      </c>
      <c r="F21" s="4">
        <v>8157</v>
      </c>
      <c r="G21" s="46" t="s">
        <v>215</v>
      </c>
      <c r="H21" s="45" t="s">
        <v>216</v>
      </c>
      <c r="I21" s="45" t="s">
        <v>194</v>
      </c>
      <c r="K21" s="46" t="s">
        <v>170</v>
      </c>
      <c r="L21" s="47" t="s">
        <v>171</v>
      </c>
    </row>
    <row r="22" spans="1:12" ht="12.75" customHeight="1" x14ac:dyDescent="0.2">
      <c r="A22" s="50" t="s">
        <v>217</v>
      </c>
      <c r="B22" s="2" t="s">
        <v>28</v>
      </c>
      <c r="C22" s="48">
        <v>54931.559600000001</v>
      </c>
      <c r="D22" s="46" t="s">
        <v>281</v>
      </c>
      <c r="E22" s="51">
        <f>VLOOKUP(C22,Active!C$21:E$58,3,FALSE)</f>
        <v>7480.5354806240684</v>
      </c>
      <c r="F22" s="4">
        <v>8157.5</v>
      </c>
      <c r="G22" s="46" t="s">
        <v>218</v>
      </c>
      <c r="H22" s="45" t="s">
        <v>219</v>
      </c>
      <c r="I22" s="45" t="s">
        <v>220</v>
      </c>
      <c r="K22" s="46" t="s">
        <v>170</v>
      </c>
      <c r="L22" s="47" t="s">
        <v>171</v>
      </c>
    </row>
    <row r="23" spans="1:12" ht="12.75" customHeight="1" x14ac:dyDescent="0.2">
      <c r="A23" s="50" t="s">
        <v>224</v>
      </c>
      <c r="B23" s="2" t="s">
        <v>30</v>
      </c>
      <c r="C23" s="48">
        <v>55049.438399999999</v>
      </c>
      <c r="D23" s="46" t="s">
        <v>281</v>
      </c>
      <c r="E23" s="51">
        <f>VLOOKUP(C23,Active!C$21:E$58,3,FALSE)</f>
        <v>7876.0355645026075</v>
      </c>
      <c r="F23" s="4">
        <v>8553</v>
      </c>
      <c r="G23" s="46" t="s">
        <v>221</v>
      </c>
      <c r="H23" s="45" t="s">
        <v>222</v>
      </c>
      <c r="I23" s="45" t="s">
        <v>223</v>
      </c>
      <c r="K23" s="46" t="s">
        <v>67</v>
      </c>
      <c r="L23" s="47" t="s">
        <v>143</v>
      </c>
    </row>
    <row r="24" spans="1:12" ht="12.75" customHeight="1" x14ac:dyDescent="0.2">
      <c r="A24" s="50" t="s">
        <v>229</v>
      </c>
      <c r="B24" s="2" t="s">
        <v>28</v>
      </c>
      <c r="C24" s="48">
        <v>55283.859700000001</v>
      </c>
      <c r="D24" s="46" t="s">
        <v>281</v>
      </c>
      <c r="E24" s="51">
        <f>VLOOKUP(C24,Active!C$21:E$58,3,FALSE)</f>
        <v>8662.5522563328432</v>
      </c>
      <c r="F24" s="4">
        <v>9339.5</v>
      </c>
      <c r="G24" s="46" t="s">
        <v>225</v>
      </c>
      <c r="H24" s="45" t="s">
        <v>226</v>
      </c>
      <c r="I24" s="45" t="s">
        <v>227</v>
      </c>
      <c r="K24" s="46" t="s">
        <v>126</v>
      </c>
      <c r="L24" s="47" t="s">
        <v>228</v>
      </c>
    </row>
    <row r="25" spans="1:12" ht="12.75" customHeight="1" x14ac:dyDescent="0.2">
      <c r="A25" s="50" t="s">
        <v>233</v>
      </c>
      <c r="B25" s="2" t="s">
        <v>30</v>
      </c>
      <c r="C25" s="48">
        <v>55314.407700000003</v>
      </c>
      <c r="D25" s="46" t="s">
        <v>281</v>
      </c>
      <c r="E25" s="51">
        <f>VLOOKUP(C25,Active!C$21:E$58,3,FALSE)</f>
        <v>8765.0451266566233</v>
      </c>
      <c r="F25" s="4">
        <v>9442</v>
      </c>
      <c r="G25" s="46" t="s">
        <v>230</v>
      </c>
      <c r="H25" s="45" t="s">
        <v>231</v>
      </c>
      <c r="I25" s="45" t="s">
        <v>232</v>
      </c>
      <c r="K25" s="46" t="s">
        <v>170</v>
      </c>
      <c r="L25" s="47" t="s">
        <v>171</v>
      </c>
    </row>
    <row r="26" spans="1:12" ht="12.75" customHeight="1" x14ac:dyDescent="0.2">
      <c r="A26" s="50" t="s">
        <v>233</v>
      </c>
      <c r="B26" s="2" t="s">
        <v>28</v>
      </c>
      <c r="C26" s="48">
        <v>55314.559300000001</v>
      </c>
      <c r="D26" s="46" t="s">
        <v>281</v>
      </c>
      <c r="E26" s="51">
        <f>VLOOKUP(C26,Active!C$21:E$58,3,FALSE)</f>
        <v>8765.5537661466333</v>
      </c>
      <c r="F26" s="4">
        <v>9442.5</v>
      </c>
      <c r="G26" s="46" t="s">
        <v>234</v>
      </c>
      <c r="H26" s="45" t="s">
        <v>235</v>
      </c>
      <c r="I26" s="45" t="s">
        <v>236</v>
      </c>
      <c r="K26" s="46" t="s">
        <v>170</v>
      </c>
      <c r="L26" s="47" t="s">
        <v>171</v>
      </c>
    </row>
    <row r="27" spans="1:12" ht="12.75" customHeight="1" x14ac:dyDescent="0.2">
      <c r="A27" s="50" t="s">
        <v>239</v>
      </c>
      <c r="B27" s="2" t="s">
        <v>30</v>
      </c>
      <c r="C27" s="48">
        <v>55671.474300000002</v>
      </c>
      <c r="D27" s="46" t="s">
        <v>281</v>
      </c>
      <c r="E27" s="51">
        <f>VLOOKUP(C27,Active!C$21:E$58,3,FALSE)</f>
        <v>9963.0541855393549</v>
      </c>
      <c r="F27" s="4">
        <v>10640</v>
      </c>
      <c r="G27" s="46" t="s">
        <v>237</v>
      </c>
      <c r="H27" s="45" t="s">
        <v>238</v>
      </c>
      <c r="I27" s="45" t="s">
        <v>199</v>
      </c>
      <c r="K27" s="46" t="s">
        <v>170</v>
      </c>
      <c r="L27" s="47" t="s">
        <v>171</v>
      </c>
    </row>
    <row r="28" spans="1:12" ht="12.75" customHeight="1" x14ac:dyDescent="0.2">
      <c r="A28" s="50" t="s">
        <v>239</v>
      </c>
      <c r="B28" s="2" t="s">
        <v>28</v>
      </c>
      <c r="C28" s="48">
        <v>55707.390899999999</v>
      </c>
      <c r="D28" s="46" t="s">
        <v>281</v>
      </c>
      <c r="E28" s="51">
        <f>VLOOKUP(C28,Active!C$21:E$58,3,FALSE)</f>
        <v>10083.559469887608</v>
      </c>
      <c r="F28" s="4">
        <v>10760.5</v>
      </c>
      <c r="G28" s="46" t="s">
        <v>240</v>
      </c>
      <c r="H28" s="45" t="s">
        <v>241</v>
      </c>
      <c r="I28" s="45" t="s">
        <v>194</v>
      </c>
      <c r="K28" s="46" t="s">
        <v>170</v>
      </c>
      <c r="L28" s="47" t="s">
        <v>171</v>
      </c>
    </row>
    <row r="29" spans="1:12" ht="12.75" customHeight="1" x14ac:dyDescent="0.2">
      <c r="A29" s="50" t="s">
        <v>239</v>
      </c>
      <c r="B29" s="2" t="s">
        <v>30</v>
      </c>
      <c r="C29" s="48">
        <v>55707.539700000001</v>
      </c>
      <c r="D29" s="46" t="s">
        <v>281</v>
      </c>
      <c r="E29" s="51">
        <f>VLOOKUP(C29,Active!C$21:E$58,3,FALSE)</f>
        <v>10084.058714980722</v>
      </c>
      <c r="F29" s="4">
        <v>10761</v>
      </c>
      <c r="G29" s="46" t="s">
        <v>242</v>
      </c>
      <c r="H29" s="45" t="s">
        <v>243</v>
      </c>
      <c r="I29" s="45" t="s">
        <v>244</v>
      </c>
      <c r="K29" s="46" t="s">
        <v>170</v>
      </c>
      <c r="L29" s="47" t="s">
        <v>171</v>
      </c>
    </row>
    <row r="30" spans="1:12" ht="12.75" customHeight="1" x14ac:dyDescent="0.2">
      <c r="A30" s="50" t="s">
        <v>248</v>
      </c>
      <c r="B30" s="2" t="s">
        <v>28</v>
      </c>
      <c r="C30" s="48">
        <v>55712.756999999998</v>
      </c>
      <c r="D30" s="46" t="s">
        <v>281</v>
      </c>
      <c r="E30" s="51">
        <f>VLOOKUP(C30,Active!C$21:E$58,3,FALSE)</f>
        <v>10101.563496057712</v>
      </c>
      <c r="F30" s="4">
        <v>10778.5</v>
      </c>
      <c r="G30" s="46" t="s">
        <v>245</v>
      </c>
      <c r="H30" s="45" t="s">
        <v>246</v>
      </c>
      <c r="I30" s="45" t="s">
        <v>247</v>
      </c>
      <c r="K30" s="46" t="s">
        <v>126</v>
      </c>
      <c r="L30" s="47" t="s">
        <v>228</v>
      </c>
    </row>
    <row r="31" spans="1:12" ht="12.75" customHeight="1" x14ac:dyDescent="0.2">
      <c r="A31" s="50" t="s">
        <v>248</v>
      </c>
      <c r="B31" s="2" t="s">
        <v>30</v>
      </c>
      <c r="C31" s="48">
        <v>55712.9038</v>
      </c>
      <c r="D31" s="46" t="s">
        <v>281</v>
      </c>
      <c r="E31" s="51" t="e">
        <f>VLOOKUP(C31,Active!C$21:E$58,3,FALSE)</f>
        <v>#N/A</v>
      </c>
      <c r="F31" s="4">
        <v>10779</v>
      </c>
      <c r="G31" s="46" t="s">
        <v>249</v>
      </c>
      <c r="H31" s="45" t="s">
        <v>250</v>
      </c>
      <c r="I31" s="45" t="s">
        <v>251</v>
      </c>
      <c r="K31" s="46" t="s">
        <v>126</v>
      </c>
      <c r="L31" s="47" t="s">
        <v>228</v>
      </c>
    </row>
    <row r="32" spans="1:12" ht="12.75" customHeight="1" x14ac:dyDescent="0.2">
      <c r="A32" s="50" t="s">
        <v>256</v>
      </c>
      <c r="B32" s="2" t="s">
        <v>28</v>
      </c>
      <c r="C32" s="48">
        <v>55755.377</v>
      </c>
      <c r="D32" s="46" t="s">
        <v>281</v>
      </c>
      <c r="E32" s="51" t="e">
        <f>VLOOKUP(C32,Active!C$21:E$58,3,FALSE)</f>
        <v>#N/A</v>
      </c>
      <c r="F32" s="4">
        <v>10921.5</v>
      </c>
      <c r="G32" s="46" t="s">
        <v>252</v>
      </c>
      <c r="H32" s="45" t="s">
        <v>253</v>
      </c>
      <c r="I32" s="45" t="s">
        <v>244</v>
      </c>
      <c r="K32" s="46" t="s">
        <v>254</v>
      </c>
      <c r="L32" s="47" t="s">
        <v>255</v>
      </c>
    </row>
    <row r="33" spans="1:12" ht="12.75" customHeight="1" x14ac:dyDescent="0.2">
      <c r="A33" s="50" t="s">
        <v>256</v>
      </c>
      <c r="B33" s="2" t="s">
        <v>30</v>
      </c>
      <c r="C33" s="48">
        <v>55755.525300000001</v>
      </c>
      <c r="D33" s="46" t="s">
        <v>281</v>
      </c>
      <c r="E33" s="51" t="e">
        <f>VLOOKUP(C33,Active!C$21:E$58,3,FALSE)</f>
        <v>#N/A</v>
      </c>
      <c r="F33" s="4">
        <v>10922</v>
      </c>
      <c r="G33" s="46" t="s">
        <v>257</v>
      </c>
      <c r="H33" s="45" t="s">
        <v>258</v>
      </c>
      <c r="I33" s="45" t="s">
        <v>251</v>
      </c>
      <c r="K33" s="46" t="s">
        <v>254</v>
      </c>
      <c r="L33" s="47" t="s">
        <v>255</v>
      </c>
    </row>
    <row r="34" spans="1:12" ht="12.75" customHeight="1" x14ac:dyDescent="0.2">
      <c r="A34" s="50" t="s">
        <v>256</v>
      </c>
      <c r="B34" s="2" t="s">
        <v>28</v>
      </c>
      <c r="C34" s="48">
        <v>55758.357100000001</v>
      </c>
      <c r="D34" s="46" t="s">
        <v>281</v>
      </c>
      <c r="E34" s="51" t="e">
        <f>VLOOKUP(C34,Active!C$21:E$58,3,FALSE)</f>
        <v>#N/A</v>
      </c>
      <c r="F34" s="4">
        <v>10931.5</v>
      </c>
      <c r="G34" s="46" t="s">
        <v>259</v>
      </c>
      <c r="H34" s="45" t="s">
        <v>260</v>
      </c>
      <c r="I34" s="45" t="s">
        <v>261</v>
      </c>
      <c r="K34" s="46" t="s">
        <v>254</v>
      </c>
      <c r="L34" s="47" t="s">
        <v>262</v>
      </c>
    </row>
    <row r="35" spans="1:12" ht="12.75" customHeight="1" x14ac:dyDescent="0.2">
      <c r="A35" s="50" t="s">
        <v>256</v>
      </c>
      <c r="B35" s="2" t="s">
        <v>30</v>
      </c>
      <c r="C35" s="48">
        <v>55758.505400000002</v>
      </c>
      <c r="D35" s="46" t="s">
        <v>281</v>
      </c>
      <c r="E35" s="51" t="e">
        <f>VLOOKUP(C35,Active!C$21:E$58,3,FALSE)</f>
        <v>#N/A</v>
      </c>
      <c r="F35" s="4">
        <v>10932</v>
      </c>
      <c r="G35" s="46" t="s">
        <v>263</v>
      </c>
      <c r="H35" s="45" t="s">
        <v>264</v>
      </c>
      <c r="I35" s="45" t="s">
        <v>185</v>
      </c>
      <c r="K35" s="46" t="s">
        <v>254</v>
      </c>
      <c r="L35" s="47" t="s">
        <v>262</v>
      </c>
    </row>
    <row r="36" spans="1:12" ht="12.75" customHeight="1" x14ac:dyDescent="0.2">
      <c r="A36" s="50" t="s">
        <v>256</v>
      </c>
      <c r="B36" s="2" t="s">
        <v>30</v>
      </c>
      <c r="C36" s="48">
        <v>55770.427199999998</v>
      </c>
      <c r="D36" s="46" t="s">
        <v>281</v>
      </c>
      <c r="E36" s="51" t="e">
        <f>VLOOKUP(C36,Active!C$21:E$58,3,FALSE)</f>
        <v>#N/A</v>
      </c>
      <c r="F36" s="4">
        <v>10972</v>
      </c>
      <c r="G36" s="46" t="s">
        <v>265</v>
      </c>
      <c r="H36" s="45" t="s">
        <v>266</v>
      </c>
      <c r="I36" s="45" t="s">
        <v>267</v>
      </c>
      <c r="K36" s="46" t="s">
        <v>254</v>
      </c>
      <c r="L36" s="47" t="s">
        <v>268</v>
      </c>
    </row>
    <row r="37" spans="1:12" ht="12.75" customHeight="1" x14ac:dyDescent="0.2">
      <c r="A37" s="50" t="s">
        <v>256</v>
      </c>
      <c r="B37" s="2" t="s">
        <v>30</v>
      </c>
      <c r="C37" s="48">
        <v>55771.322099999998</v>
      </c>
      <c r="D37" s="46" t="s">
        <v>281</v>
      </c>
      <c r="E37" s="51" t="e">
        <f>VLOOKUP(C37,Active!C$21:E$58,3,FALSE)</f>
        <v>#N/A</v>
      </c>
      <c r="F37" s="4">
        <v>10975</v>
      </c>
      <c r="G37" s="46" t="s">
        <v>269</v>
      </c>
      <c r="H37" s="45" t="s">
        <v>270</v>
      </c>
      <c r="I37" s="45" t="s">
        <v>191</v>
      </c>
      <c r="K37" s="46" t="s">
        <v>254</v>
      </c>
      <c r="L37" s="47" t="s">
        <v>271</v>
      </c>
    </row>
    <row r="38" spans="1:12" ht="12.75" customHeight="1" x14ac:dyDescent="0.2">
      <c r="A38" s="50" t="s">
        <v>275</v>
      </c>
      <c r="B38" s="2" t="s">
        <v>30</v>
      </c>
      <c r="C38" s="48">
        <v>56050.889000000003</v>
      </c>
      <c r="D38" s="46" t="s">
        <v>281</v>
      </c>
      <c r="E38" s="51" t="e">
        <f>VLOOKUP(C38,Active!C$21:E$58,3,FALSE)</f>
        <v>#N/A</v>
      </c>
      <c r="F38" s="4">
        <v>11913</v>
      </c>
      <c r="G38" s="46" t="s">
        <v>272</v>
      </c>
      <c r="H38" s="45" t="s">
        <v>273</v>
      </c>
      <c r="I38" s="45" t="s">
        <v>274</v>
      </c>
      <c r="K38" s="46" t="s">
        <v>126</v>
      </c>
      <c r="L38" s="47" t="s">
        <v>228</v>
      </c>
    </row>
    <row r="39" spans="1:12" ht="12.75" customHeight="1" x14ac:dyDescent="0.2">
      <c r="A39" s="50" t="s">
        <v>279</v>
      </c>
      <c r="B39" s="2" t="s">
        <v>28</v>
      </c>
      <c r="C39" s="48">
        <v>56058.496899999998</v>
      </c>
      <c r="D39" s="46" t="s">
        <v>281</v>
      </c>
      <c r="E39" s="51" t="e">
        <f>VLOOKUP(C39,Active!C$21:E$58,3,FALSE)</f>
        <v>#N/A</v>
      </c>
      <c r="F39" s="4">
        <v>11938.5</v>
      </c>
      <c r="G39" s="46" t="s">
        <v>276</v>
      </c>
      <c r="H39" s="45" t="s">
        <v>277</v>
      </c>
      <c r="I39" s="45" t="s">
        <v>278</v>
      </c>
      <c r="K39" s="46" t="s">
        <v>126</v>
      </c>
      <c r="L39" s="47" t="s">
        <v>171</v>
      </c>
    </row>
    <row r="40" spans="1:12" ht="12.75" customHeight="1" x14ac:dyDescent="0.2">
      <c r="A40" s="48" t="s">
        <v>144</v>
      </c>
      <c r="B40" s="2" t="s">
        <v>30</v>
      </c>
      <c r="C40" s="48">
        <v>52056.412400000001</v>
      </c>
      <c r="D40" s="46" t="s">
        <v>280</v>
      </c>
      <c r="E40" s="51">
        <f>VLOOKUP(C40,Active!C$21:E$58,3,FALSE)</f>
        <v>-2165.9909411172493</v>
      </c>
      <c r="F40" s="4">
        <v>-1489</v>
      </c>
      <c r="G40" s="46" t="s">
        <v>140</v>
      </c>
      <c r="H40" s="45">
        <v>-1489</v>
      </c>
      <c r="I40" s="45" t="s">
        <v>141</v>
      </c>
      <c r="K40" s="46" t="s">
        <v>142</v>
      </c>
      <c r="L40" s="47" t="s">
        <v>143</v>
      </c>
    </row>
    <row r="41" spans="1:12" ht="12.75" customHeight="1" x14ac:dyDescent="0.2">
      <c r="A41" s="48" t="s">
        <v>144</v>
      </c>
      <c r="B41" s="2" t="s">
        <v>28</v>
      </c>
      <c r="C41" s="48">
        <v>52056.5648</v>
      </c>
      <c r="D41" s="46" t="s">
        <v>280</v>
      </c>
      <c r="E41" s="51">
        <f>VLOOKUP(C41,Active!C$21:E$58,3,FALSE)</f>
        <v>-2165.4796175138304</v>
      </c>
      <c r="F41" s="4">
        <v>-1488.5</v>
      </c>
      <c r="G41" s="46" t="s">
        <v>145</v>
      </c>
      <c r="H41" s="45">
        <v>-1488.5</v>
      </c>
      <c r="I41" s="45" t="s">
        <v>146</v>
      </c>
      <c r="K41" s="46" t="s">
        <v>142</v>
      </c>
      <c r="L41" s="47" t="s">
        <v>143</v>
      </c>
    </row>
    <row r="42" spans="1:12" ht="12.75" customHeight="1" x14ac:dyDescent="0.2">
      <c r="A42" s="48" t="s">
        <v>144</v>
      </c>
      <c r="B42" s="2" t="s">
        <v>30</v>
      </c>
      <c r="C42" s="48">
        <v>52058.500899999999</v>
      </c>
      <c r="D42" s="46" t="s">
        <v>280</v>
      </c>
      <c r="E42" s="51">
        <f>VLOOKUP(C42,Active!C$21:E$58,3,FALSE)</f>
        <v>-2158.9837275624832</v>
      </c>
      <c r="F42" s="4">
        <v>-1482</v>
      </c>
      <c r="G42" s="46" t="s">
        <v>147</v>
      </c>
      <c r="H42" s="45">
        <v>-1482</v>
      </c>
      <c r="I42" s="45" t="s">
        <v>148</v>
      </c>
      <c r="K42" s="46" t="s">
        <v>142</v>
      </c>
      <c r="L42" s="47" t="s">
        <v>143</v>
      </c>
    </row>
    <row r="43" spans="1:12" ht="12.75" customHeight="1" x14ac:dyDescent="0.2">
      <c r="A43" s="48" t="s">
        <v>144</v>
      </c>
      <c r="B43" s="2" t="s">
        <v>28</v>
      </c>
      <c r="C43" s="48">
        <v>52065.505899999996</v>
      </c>
      <c r="D43" s="46" t="s">
        <v>280</v>
      </c>
      <c r="E43" s="51">
        <f>VLOOKUP(C43,Active!C$21:E$58,3,FALSE)</f>
        <v>-2135.4809595705442</v>
      </c>
      <c r="F43" s="4">
        <v>-1458.5</v>
      </c>
      <c r="G43" s="46" t="s">
        <v>149</v>
      </c>
      <c r="H43" s="45">
        <v>-1458.5</v>
      </c>
      <c r="I43" s="45" t="s">
        <v>150</v>
      </c>
      <c r="K43" s="46" t="s">
        <v>142</v>
      </c>
      <c r="L43" s="47" t="s">
        <v>143</v>
      </c>
    </row>
    <row r="44" spans="1:12" ht="12.75" customHeight="1" x14ac:dyDescent="0.2">
      <c r="A44" s="48" t="s">
        <v>144</v>
      </c>
      <c r="B44" s="2" t="s">
        <v>30</v>
      </c>
      <c r="C44" s="48">
        <v>52073.401899999997</v>
      </c>
      <c r="D44" s="46" t="s">
        <v>280</v>
      </c>
      <c r="E44" s="51">
        <f>VLOOKUP(C44,Active!C$21:E$58,3,FALSE)</f>
        <v>-2108.9887602751219</v>
      </c>
      <c r="F44" s="4">
        <v>-1432</v>
      </c>
      <c r="G44" s="46" t="s">
        <v>151</v>
      </c>
      <c r="H44" s="45">
        <v>-1432</v>
      </c>
      <c r="I44" s="45" t="s">
        <v>152</v>
      </c>
      <c r="K44" s="46" t="s">
        <v>142</v>
      </c>
      <c r="L44" s="47" t="s">
        <v>143</v>
      </c>
    </row>
    <row r="45" spans="1:12" ht="12.75" customHeight="1" x14ac:dyDescent="0.2">
      <c r="A45" s="48" t="s">
        <v>144</v>
      </c>
      <c r="B45" s="2" t="s">
        <v>28</v>
      </c>
      <c r="C45" s="48">
        <v>52073.554499999998</v>
      </c>
      <c r="D45" s="46" t="s">
        <v>280</v>
      </c>
      <c r="E45" s="51">
        <f>VLOOKUP(C45,Active!C$21:E$58,3,FALSE)</f>
        <v>-2108.4767656433446</v>
      </c>
      <c r="F45" s="4">
        <v>-1431.5</v>
      </c>
      <c r="G45" s="46" t="s">
        <v>153</v>
      </c>
      <c r="H45" s="45">
        <v>-1431.5</v>
      </c>
      <c r="I45" s="45" t="s">
        <v>154</v>
      </c>
      <c r="K45" s="46" t="s">
        <v>142</v>
      </c>
      <c r="L45" s="47" t="s">
        <v>143</v>
      </c>
    </row>
    <row r="46" spans="1:12" ht="12.75" customHeight="1" x14ac:dyDescent="0.2">
      <c r="A46" s="48" t="s">
        <v>144</v>
      </c>
      <c r="B46" s="2" t="s">
        <v>30</v>
      </c>
      <c r="C46" s="48">
        <v>52075.491000000002</v>
      </c>
      <c r="D46" s="46" t="s">
        <v>280</v>
      </c>
      <c r="E46" s="51">
        <f>VLOOKUP(C46,Active!C$21:E$58,3,FALSE)</f>
        <v>-2101.9795336352804</v>
      </c>
      <c r="F46" s="4">
        <v>-1425</v>
      </c>
      <c r="G46" s="46" t="s">
        <v>155</v>
      </c>
      <c r="H46" s="45">
        <v>-1425</v>
      </c>
      <c r="I46" s="45" t="s">
        <v>156</v>
      </c>
      <c r="K46" s="46" t="s">
        <v>142</v>
      </c>
      <c r="L46" s="47" t="s">
        <v>143</v>
      </c>
    </row>
    <row r="47" spans="1:12" ht="12.75" customHeight="1" x14ac:dyDescent="0.2">
      <c r="A47" s="48" t="s">
        <v>159</v>
      </c>
      <c r="B47" s="2" t="s">
        <v>30</v>
      </c>
      <c r="C47" s="48">
        <v>52411.393600000003</v>
      </c>
      <c r="D47" s="46" t="s">
        <v>280</v>
      </c>
      <c r="E47" s="51">
        <f>VLOOKUP(C47,Active!C$21:E$58,3,FALSE)</f>
        <v>-974.97869484983767</v>
      </c>
      <c r="F47" s="4">
        <v>-298</v>
      </c>
      <c r="G47" s="46" t="s">
        <v>157</v>
      </c>
      <c r="H47" s="45">
        <v>-298</v>
      </c>
      <c r="I47" s="45" t="s">
        <v>158</v>
      </c>
      <c r="K47" s="46" t="s">
        <v>142</v>
      </c>
      <c r="L47" s="47" t="s">
        <v>143</v>
      </c>
    </row>
    <row r="48" spans="1:12" ht="12.75" customHeight="1" x14ac:dyDescent="0.2">
      <c r="A48" s="50" t="s">
        <v>214</v>
      </c>
      <c r="B48" s="2" t="s">
        <v>28</v>
      </c>
      <c r="C48" s="48">
        <v>54882.979399999997</v>
      </c>
      <c r="D48" s="46" t="s">
        <v>281</v>
      </c>
      <c r="E48" s="51" t="e">
        <f>VLOOKUP(C48,Active!C$21:E$58,3,FALSE)</f>
        <v>#N/A</v>
      </c>
      <c r="F48" s="4">
        <v>7994.5</v>
      </c>
      <c r="G48" s="46" t="s">
        <v>210</v>
      </c>
      <c r="H48" s="45" t="s">
        <v>211</v>
      </c>
      <c r="I48" s="45" t="s">
        <v>212</v>
      </c>
      <c r="K48" s="46" t="s">
        <v>67</v>
      </c>
      <c r="L48" s="47" t="s">
        <v>213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phoneticPr fontId="7" type="noConversion"/>
  <hyperlinks>
    <hyperlink ref="A39" r:id="rId1" display="http://www.bav-astro.de/sfs/BAVM_link.php?BAVMnr=231" xr:uid="{00000000-0004-0000-0200-000000000000}"/>
    <hyperlink ref="A38" r:id="rId2" display="http://www.konkoly.hu/cgi-bin/IBVS?6029" xr:uid="{00000000-0004-0000-0200-000001000000}"/>
    <hyperlink ref="A37" r:id="rId3" display="http://www.konkoly.hu/cgi-bin/IBVS?6041" xr:uid="{00000000-0004-0000-0200-000002000000}"/>
    <hyperlink ref="A36" r:id="rId4" display="http://www.konkoly.hu/cgi-bin/IBVS?6041" xr:uid="{00000000-0004-0000-0200-000003000000}"/>
    <hyperlink ref="A35" r:id="rId5" display="http://www.konkoly.hu/cgi-bin/IBVS?6041" xr:uid="{00000000-0004-0000-0200-000004000000}"/>
    <hyperlink ref="A34" r:id="rId6" display="http://www.konkoly.hu/cgi-bin/IBVS?6041" xr:uid="{00000000-0004-0000-0200-000005000000}"/>
    <hyperlink ref="A33" r:id="rId7" display="http://www.konkoly.hu/cgi-bin/IBVS?6041" xr:uid="{00000000-0004-0000-0200-000006000000}"/>
    <hyperlink ref="A32" r:id="rId8" display="http://www.konkoly.hu/cgi-bin/IBVS?6041" xr:uid="{00000000-0004-0000-0200-000007000000}"/>
    <hyperlink ref="A31" r:id="rId9" display="http://www.konkoly.hu/cgi-bin/IBVS?5992" xr:uid="{00000000-0004-0000-0200-000008000000}"/>
    <hyperlink ref="A30" r:id="rId10" display="http://www.konkoly.hu/cgi-bin/IBVS?5992" xr:uid="{00000000-0004-0000-0200-000009000000}"/>
    <hyperlink ref="A29" r:id="rId11" display="http://www.bav-astro.de/sfs/BAVM_link.php?BAVMnr=220" xr:uid="{00000000-0004-0000-0200-00000A000000}"/>
    <hyperlink ref="A28" r:id="rId12" display="http://www.bav-astro.de/sfs/BAVM_link.php?BAVMnr=220" xr:uid="{00000000-0004-0000-0200-00000B000000}"/>
    <hyperlink ref="A27" r:id="rId13" display="http://www.bav-astro.de/sfs/BAVM_link.php?BAVMnr=220" xr:uid="{00000000-0004-0000-0200-00000C000000}"/>
    <hyperlink ref="A26" r:id="rId14" display="http://www.bav-astro.de/sfs/BAVM_link.php?BAVMnr=214" xr:uid="{00000000-0004-0000-0200-00000D000000}"/>
    <hyperlink ref="A25" r:id="rId15" display="http://www.bav-astro.de/sfs/BAVM_link.php?BAVMnr=214" xr:uid="{00000000-0004-0000-0200-00000E000000}"/>
    <hyperlink ref="A24" r:id="rId16" display="http://www.konkoly.hu/cgi-bin/IBVS?5945" xr:uid="{00000000-0004-0000-0200-00000F000000}"/>
    <hyperlink ref="A23" r:id="rId17" display="http://www.konkoly.hu/cgi-bin/IBVS?5920" xr:uid="{00000000-0004-0000-0200-000010000000}"/>
    <hyperlink ref="A22" r:id="rId18" display="http://www.bav-astro.de/sfs/BAVM_link.php?BAVMnr=209" xr:uid="{00000000-0004-0000-0200-000011000000}"/>
    <hyperlink ref="A21" r:id="rId19" display="http://www.bav-astro.de/sfs/BAVM_link.php?BAVMnr=209" xr:uid="{00000000-0004-0000-0200-000012000000}"/>
    <hyperlink ref="A48" r:id="rId20" display="http://www.konkoly.hu/cgi-bin/IBVS?5929" xr:uid="{00000000-0004-0000-0200-000013000000}"/>
    <hyperlink ref="A20" r:id="rId21" display="http://www.konkoly.hu/cgi-bin/IBVS?5871" xr:uid="{00000000-0004-0000-0200-000014000000}"/>
    <hyperlink ref="A19" r:id="rId22" display="http://www.bav-astro.de/sfs/BAVM_link.php?BAVMnr=201" xr:uid="{00000000-0004-0000-0200-000015000000}"/>
    <hyperlink ref="A18" r:id="rId23" display="http://www.bav-astro.de/sfs/BAVM_link.php?BAVMnr=201" xr:uid="{00000000-0004-0000-0200-000016000000}"/>
    <hyperlink ref="A17" r:id="rId24" display="http://www.bav-astro.de/sfs/BAVM_link.php?BAVMnr=186" xr:uid="{00000000-0004-0000-0200-000017000000}"/>
    <hyperlink ref="A16" r:id="rId25" display="http://www.bav-astro.de/sfs/BAVM_link.php?BAVMnr=201" xr:uid="{00000000-0004-0000-0200-000018000000}"/>
    <hyperlink ref="A14" r:id="rId26" display="http://www.bav-astro.de/sfs/BAVM_link.php?BAVMnr=186" xr:uid="{00000000-0004-0000-0200-000019000000}"/>
    <hyperlink ref="A12" r:id="rId27" display="http://www.bav-astro.de/sfs/BAVM_link.php?BAVMnr=186" xr:uid="{00000000-0004-0000-0200-00001A000000}"/>
    <hyperlink ref="A11" r:id="rId28" display="http://www.konkoly.hu/cgi-bin/IBVS?5713" xr:uid="{00000000-0004-0000-0200-00001B000000}"/>
    <hyperlink ref="A10" r:id="rId29" display="http://www.konkoly.hu/cgi-bin/IBVS?5713" xr:uid="{00000000-0004-0000-0200-00001C000000}"/>
    <hyperlink ref="A9" r:id="rId30" display="http://www.bav-astro.de/sfs/BAVM_link.php?BAVMnr=178" xr:uid="{00000000-0004-0000-0200-00001D000000}"/>
    <hyperlink ref="A8" r:id="rId31" display="http://www.konkoly.hu/cgi-bin/IBVS?5653" xr:uid="{00000000-0004-0000-0200-00001E000000}"/>
    <hyperlink ref="A7" r:id="rId32" display="http://www.konkoly.hu/cgi-bin/IBVS?5653" xr:uid="{00000000-0004-0000-0200-00001F000000}"/>
  </hyperlinks>
  <pageMargins left="0.75" right="0.75" top="1" bottom="1" header="0.5" footer="0.5"/>
  <pageSetup orientation="portrait" verticalDpi="0" r:id="rId3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2024-01-03T06:29:47Z</dcterms:modified>
</cp:coreProperties>
</file>